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codeName="ThisWorkbook" defaultThemeVersion="124226"/>
  <mc:AlternateContent xmlns:mc="http://schemas.openxmlformats.org/markup-compatibility/2006">
    <mc:Choice Requires="x15">
      <x15ac:absPath xmlns:x15ac="http://schemas.microsoft.com/office/spreadsheetml/2010/11/ac" url="Z:\MMR and Monthly Reporting\2023-24\Board Report\"/>
    </mc:Choice>
  </mc:AlternateContent>
  <xr:revisionPtr revIDLastSave="0" documentId="8_{5FA22F75-436D-49C1-98DF-B985ACB78BD0}" xr6:coauthVersionLast="47" xr6:coauthVersionMax="47" xr10:uidLastSave="{00000000-0000-0000-0000-000000000000}"/>
  <bookViews>
    <workbookView xWindow="-108" yWindow="-108" windowWidth="23256" windowHeight="12576" tabRatio="783"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0" l="1"/>
  <c r="N28" i="10"/>
  <c r="N18" i="10"/>
  <c r="M18" i="10"/>
  <c r="L18" i="10"/>
  <c r="K18" i="10"/>
  <c r="J18" i="10"/>
  <c r="I18" i="10"/>
  <c r="H18" i="10"/>
  <c r="G18" i="10"/>
  <c r="G20" i="10"/>
  <c r="D77" i="3" l="1"/>
  <c r="D73" i="3" l="1"/>
  <c r="F12" i="90" l="1"/>
  <c r="H10" i="53" l="1"/>
  <c r="G10" i="53"/>
  <c r="N10" i="53"/>
  <c r="N16" i="53"/>
  <c r="M16" i="53"/>
  <c r="L16" i="53"/>
  <c r="K16" i="53"/>
  <c r="J16" i="53"/>
  <c r="I16" i="53"/>
  <c r="H16" i="53"/>
  <c r="G16" i="53"/>
  <c r="N14" i="53"/>
  <c r="M14" i="53"/>
  <c r="L14" i="53"/>
  <c r="K14" i="53"/>
  <c r="J14" i="53"/>
  <c r="I14" i="53"/>
  <c r="H14" i="53"/>
  <c r="G14" i="53"/>
  <c r="M10" i="53"/>
  <c r="L10" i="53"/>
  <c r="K10" i="53"/>
  <c r="J10" i="53"/>
  <c r="I10" i="53"/>
  <c r="G52" i="53" l="1"/>
  <c r="D53" i="78" l="1"/>
  <c r="F20" i="10" l="1"/>
  <c r="L19" i="79" l="1"/>
  <c r="L20" i="79"/>
  <c r="L21" i="79"/>
  <c r="L18" i="79"/>
  <c r="L9" i="79"/>
  <c r="L10" i="79"/>
  <c r="L11" i="79"/>
  <c r="L8" i="79"/>
  <c r="H29" i="10" l="1"/>
  <c r="I29" i="10" s="1"/>
  <c r="J29" i="10" s="1"/>
  <c r="K29" i="10" s="1"/>
  <c r="L29" i="10" s="1"/>
  <c r="M29" i="10" s="1"/>
  <c r="H28" i="10"/>
  <c r="I28" i="10" s="1"/>
  <c r="J28" i="10" s="1"/>
  <c r="K28" i="10" s="1"/>
  <c r="L28" i="10" s="1"/>
  <c r="M28" i="10" s="1"/>
  <c r="H20" i="10"/>
  <c r="I20" i="10" s="1"/>
  <c r="J20" i="10" s="1"/>
  <c r="K20" i="10" s="1"/>
  <c r="L20" i="10" s="1"/>
  <c r="M20" i="10" s="1"/>
  <c r="N20" i="10" s="1"/>
  <c r="H15" i="10"/>
  <c r="I15" i="10" s="1"/>
  <c r="J15" i="10" s="1"/>
  <c r="K15" i="10" s="1"/>
  <c r="L15" i="10" s="1"/>
  <c r="M15" i="10" s="1"/>
  <c r="N15" i="10" s="1"/>
  <c r="H13" i="10"/>
  <c r="I13" i="10" s="1"/>
  <c r="J13" i="10" s="1"/>
  <c r="K13" i="10" s="1"/>
  <c r="L13" i="10" s="1"/>
  <c r="M13" i="10" s="1"/>
  <c r="N13" i="10" s="1"/>
  <c r="C12" i="90" l="1"/>
  <c r="D12" i="90" l="1"/>
  <c r="F33" i="90"/>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s="1"/>
  <c r="D13" i="10" l="1"/>
  <c r="C20" i="10"/>
  <c r="D15" i="10"/>
  <c r="C15" i="10"/>
  <c r="C13" i="10"/>
  <c r="D40" i="53" l="1"/>
  <c r="D39" i="53"/>
  <c r="D37" i="53"/>
  <c r="D35" i="53"/>
  <c r="D34" i="53"/>
  <c r="D33" i="53"/>
  <c r="E20" i="78"/>
  <c r="F20" i="78" l="1"/>
  <c r="G20" i="78" s="1"/>
  <c r="F40" i="53"/>
  <c r="G40" i="53" s="1"/>
  <c r="E33" i="53"/>
  <c r="F33" i="53" s="1"/>
  <c r="G33" i="53" s="1"/>
  <c r="E35" i="53"/>
  <c r="E37" i="53"/>
  <c r="F37" i="53" s="1"/>
  <c r="E34" i="53"/>
  <c r="F34" i="53" s="1"/>
  <c r="G34" i="53" s="1"/>
  <c r="E39" i="53"/>
  <c r="F39" i="53" s="1"/>
  <c r="E40" i="53"/>
  <c r="D20" i="10"/>
  <c r="D29" i="10"/>
  <c r="D28" i="10"/>
  <c r="C29" i="10"/>
  <c r="C28" i="10"/>
  <c r="E16" i="78"/>
  <c r="E14" i="78"/>
  <c r="E15" i="78"/>
  <c r="E13" i="78"/>
  <c r="G39" i="53" l="1"/>
  <c r="G37" i="53"/>
  <c r="F14" i="78"/>
  <c r="G14" i="78"/>
  <c r="F35" i="53"/>
  <c r="G35" i="53" s="1"/>
  <c r="F13" i="78"/>
  <c r="G13" i="78"/>
  <c r="F15" i="78"/>
  <c r="G15" i="78" s="1"/>
  <c r="F16" i="78"/>
  <c r="G16" i="78" s="1"/>
  <c r="D53" i="53"/>
  <c r="H52" i="53"/>
  <c r="I52" i="53" s="1"/>
  <c r="J52" i="53" s="1"/>
  <c r="K52" i="53" s="1"/>
  <c r="L52" i="53" s="1"/>
  <c r="M52" i="53" s="1"/>
  <c r="N52" i="53" s="1"/>
  <c r="F53" i="53" l="1"/>
  <c r="H34" i="53"/>
  <c r="I34" i="53" s="1"/>
  <c r="J34" i="53" s="1"/>
  <c r="K34" i="53" s="1"/>
  <c r="L34" i="53" s="1"/>
  <c r="M34" i="53" s="1"/>
  <c r="N34" i="53" s="1"/>
  <c r="H35" i="53"/>
  <c r="I35" i="53" s="1"/>
  <c r="J35" i="53" s="1"/>
  <c r="K35" i="53" s="1"/>
  <c r="L35" i="53" s="1"/>
  <c r="M35" i="53" s="1"/>
  <c r="N35" i="53" s="1"/>
  <c r="D36" i="53"/>
  <c r="H37" i="53"/>
  <c r="I37" i="53" s="1"/>
  <c r="J37" i="53" s="1"/>
  <c r="K37" i="53" s="1"/>
  <c r="L37" i="53" s="1"/>
  <c r="M37" i="53" s="1"/>
  <c r="N37" i="53" s="1"/>
  <c r="D38" i="53"/>
  <c r="H39" i="53"/>
  <c r="I39" i="53" s="1"/>
  <c r="J39" i="53" s="1"/>
  <c r="K39" i="53" s="1"/>
  <c r="L39" i="53" s="1"/>
  <c r="M39" i="53" s="1"/>
  <c r="N39" i="53" s="1"/>
  <c r="H40" i="53"/>
  <c r="I40" i="53" s="1"/>
  <c r="J40" i="53" s="1"/>
  <c r="K40" i="53" s="1"/>
  <c r="L40" i="53" s="1"/>
  <c r="M40" i="53" s="1"/>
  <c r="N40" i="53" s="1"/>
  <c r="D41" i="53"/>
  <c r="H33" i="53"/>
  <c r="I33" i="53" s="1"/>
  <c r="J33" i="53" s="1"/>
  <c r="K33" i="53" s="1"/>
  <c r="L33" i="53" s="1"/>
  <c r="M33" i="53" s="1"/>
  <c r="N33" i="53" s="1"/>
  <c r="G53" i="53" l="1"/>
  <c r="H53" i="53" s="1"/>
  <c r="I53" i="53" s="1"/>
  <c r="J53" i="53" s="1"/>
  <c r="K53" i="53" s="1"/>
  <c r="L53" i="53" s="1"/>
  <c r="M53" i="53" s="1"/>
  <c r="N53" i="53" s="1"/>
  <c r="E36" i="53"/>
  <c r="F36" i="53" s="1"/>
  <c r="E38" i="53"/>
  <c r="F38" i="53" s="1"/>
  <c r="G38" i="53" s="1"/>
  <c r="H38" i="53" s="1"/>
  <c r="I38" i="53" s="1"/>
  <c r="J38" i="53" s="1"/>
  <c r="K38" i="53" s="1"/>
  <c r="L38" i="53" s="1"/>
  <c r="M38" i="53" s="1"/>
  <c r="N38" i="53" s="1"/>
  <c r="E41" i="53"/>
  <c r="G41" i="53" s="1"/>
  <c r="F41" i="53"/>
  <c r="U12" i="69"/>
  <c r="T12" i="69"/>
  <c r="S12" i="69"/>
  <c r="R12" i="69"/>
  <c r="Q12" i="69"/>
  <c r="P12" i="69"/>
  <c r="O12" i="69"/>
  <c r="N12" i="69"/>
  <c r="M12" i="69"/>
  <c r="L12" i="69"/>
  <c r="K12" i="69"/>
  <c r="J12" i="69"/>
  <c r="F14" i="69"/>
  <c r="G36" i="53" l="1"/>
  <c r="H36" i="53" s="1"/>
  <c r="I36" i="53" s="1"/>
  <c r="J36" i="53" s="1"/>
  <c r="K36" i="53" s="1"/>
  <c r="L36" i="53" s="1"/>
  <c r="M36" i="53" s="1"/>
  <c r="N36" i="53" s="1"/>
  <c r="H41" i="53"/>
  <c r="I41" i="53" s="1"/>
  <c r="J41" i="53" s="1"/>
  <c r="K41" i="53" s="1"/>
  <c r="L41" i="53" s="1"/>
  <c r="M41" i="53" s="1"/>
  <c r="N41" i="53" s="1"/>
  <c r="C10" i="53"/>
  <c r="C17" i="53"/>
  <c r="C16" i="53"/>
  <c r="C15" i="53"/>
  <c r="C14" i="53"/>
  <c r="C12" i="53"/>
  <c r="C11" i="53"/>
  <c r="D17" i="53" l="1"/>
  <c r="E17" i="53" s="1"/>
  <c r="D12" i="53"/>
  <c r="F12" i="53" s="1"/>
  <c r="E12" i="53"/>
  <c r="D14" i="53"/>
  <c r="E14" i="53"/>
  <c r="D15" i="53"/>
  <c r="E15" i="53" s="1"/>
  <c r="D16" i="53"/>
  <c r="D10" i="53"/>
  <c r="D11" i="53"/>
  <c r="E11" i="53" s="1"/>
  <c r="D72" i="78"/>
  <c r="F14" i="53" l="1"/>
  <c r="E16" i="53"/>
  <c r="F16" i="53" s="1"/>
  <c r="F17" i="53"/>
  <c r="F15" i="53"/>
  <c r="E10" i="53"/>
  <c r="F10" i="53" s="1"/>
  <c r="F11" i="53"/>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AK46" i="89" l="1"/>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Y13" i="97" s="1"/>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06" i="94" l="1"/>
  <c r="D1621" i="94"/>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L30" i="97"/>
  <c r="O1639" i="94" s="1"/>
  <c r="D30" i="97"/>
  <c r="L28" i="97"/>
  <c r="O1637" i="94" s="1"/>
  <c r="D28" i="97"/>
  <c r="H27" i="97"/>
  <c r="K1636" i="94" s="1"/>
  <c r="L26" i="97"/>
  <c r="O1635" i="94" s="1"/>
  <c r="D26" i="97"/>
  <c r="I25" i="97"/>
  <c r="L1634" i="94" s="1"/>
  <c r="L24" i="97"/>
  <c r="O1633" i="94" s="1"/>
  <c r="D24" i="97"/>
  <c r="H23" i="97"/>
  <c r="K1632" i="94" s="1"/>
  <c r="L22" i="97"/>
  <c r="O1631" i="94" s="1"/>
  <c r="D22" i="97"/>
  <c r="I21" i="97"/>
  <c r="L1630" i="94" s="1"/>
  <c r="L18" i="97" l="1"/>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45" i="94" l="1"/>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763" i="94" s="1"/>
  <c r="U1763" i="94" s="1"/>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B16" i="97" l="1"/>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J15" i="78" s="1"/>
  <c r="K88" i="92"/>
  <c r="DP87" i="84"/>
  <c r="DK151" i="84"/>
  <c r="M15" i="69"/>
  <c r="K154" i="92"/>
  <c r="L15" i="78" s="1"/>
  <c r="L88" i="92"/>
  <c r="DQ87" i="84"/>
  <c r="DR151" i="84"/>
  <c r="T15" i="69"/>
  <c r="F88" i="92"/>
  <c r="DK87" i="84"/>
  <c r="DH147" i="84"/>
  <c r="J13" i="69"/>
  <c r="H154" i="92"/>
  <c r="I15" i="78" s="1"/>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H15" i="78" s="1"/>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B67" i="97"/>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H20" i="78" s="1"/>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S1769" i="94" l="1"/>
  <c r="U1769" i="94" s="1"/>
  <c r="Y19" i="97"/>
  <c r="B93" i="97"/>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0" i="94"/>
  <c r="A6" i="6"/>
  <c r="AE18" i="89"/>
  <c r="AE17" i="89"/>
  <c r="AE16" i="89"/>
  <c r="AE14" i="89"/>
  <c r="AE11" i="89"/>
  <c r="AE10" i="89"/>
  <c r="AF19" i="89"/>
  <c r="D401" i="94" l="1"/>
  <c r="A20" i="92"/>
  <c r="DF20" i="84" s="1"/>
  <c r="B97" i="97"/>
  <c r="D1701" i="94"/>
  <c r="W26" i="78"/>
  <c r="JD6" i="84"/>
  <c r="AE8" i="89"/>
  <c r="A21" i="92" l="1"/>
  <c r="DF21" i="84" s="1"/>
  <c r="D402" i="94"/>
  <c r="B98" i="97"/>
  <c r="D1702" i="94"/>
  <c r="D403" i="94" l="1"/>
  <c r="D514" i="94" s="1"/>
  <c r="A22" i="92"/>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W20" i="91"/>
  <c r="W46" i="91" s="1"/>
  <c r="Z4" i="91" s="1"/>
  <c r="AA4" i="91" s="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N31" i="10" s="1"/>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AA5" i="91"/>
  <c r="C15" i="83"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T11" i="89" l="1"/>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W559" i="89" s="1"/>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W1428" i="89" s="1"/>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W1288" i="89" s="1"/>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Q776" i="89"/>
  <c r="BW776" i="89" s="1"/>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W419" i="89" s="1"/>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W644" i="89" s="1"/>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W721" i="89" s="1"/>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412" i="89"/>
  <c r="BW1252"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W824"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99" i="89" l="1"/>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M77" i="78"/>
  <c r="M32" i="78" s="1"/>
  <c r="M21" i="78" s="1"/>
  <c r="L77" i="78"/>
  <c r="L32" i="78" s="1"/>
  <c r="L21" i="78" s="1"/>
  <c r="K77" i="78"/>
  <c r="K32" i="78" s="1"/>
  <c r="K21" i="78" s="1"/>
  <c r="J77" i="78"/>
  <c r="J32" i="78" s="1"/>
  <c r="J21" i="78" s="1"/>
  <c r="I77" i="78"/>
  <c r="I32" i="78" s="1"/>
  <c r="H77" i="78"/>
  <c r="H32" i="78" s="1"/>
  <c r="H21"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N21" i="78" l="1"/>
  <c r="I21" i="78"/>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N13" i="6"/>
  <c r="O13"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G21" i="68" l="1"/>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H32" i="10"/>
  <c r="JZ78" i="84"/>
  <c r="G32" i="10"/>
  <c r="KB78" i="84"/>
  <c r="I32" i="10"/>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H84" i="97"/>
  <c r="K281" i="94"/>
  <c r="BL21" i="84"/>
  <c r="H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I84" i="97"/>
  <c r="L281" i="94"/>
  <c r="BM21" i="84"/>
  <c r="I36" i="78"/>
  <c r="E84" i="97"/>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G21" i="78" l="1"/>
  <c r="BK21" i="84" s="1"/>
  <c r="BT35" i="84"/>
  <c r="F15" i="90"/>
  <c r="LJ15" i="84" s="1"/>
  <c r="BT76" i="84"/>
  <c r="F14" i="90"/>
  <c r="LJ14" i="84" s="1"/>
  <c r="BT80" i="84"/>
  <c r="F13" i="90"/>
  <c r="LJ13" i="84" s="1"/>
  <c r="F84" i="97"/>
  <c r="I281" i="94"/>
  <c r="BJ21" i="84"/>
  <c r="S24" i="78"/>
  <c r="E62" i="86"/>
  <c r="F36" i="78"/>
  <c r="P21" i="78"/>
  <c r="BT21" i="84" s="1"/>
  <c r="X9" i="78"/>
  <c r="Y9" i="78"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BL36" i="84"/>
  <c r="H57" i="78"/>
  <c r="K296" i="94"/>
  <c r="H37" i="78"/>
  <c r="H99" i="97"/>
  <c r="I20" i="97"/>
  <c r="L1629" i="94" s="1"/>
  <c r="L1687" i="94"/>
  <c r="H1687" i="94"/>
  <c r="E20" i="97"/>
  <c r="H1629" i="94" s="1"/>
  <c r="P1687" i="94"/>
  <c r="M20" i="97"/>
  <c r="P1629" i="94" s="1"/>
  <c r="J37" i="78"/>
  <c r="J57" i="78"/>
  <c r="M296" i="94"/>
  <c r="BN36" i="84"/>
  <c r="J99" i="97"/>
  <c r="K37" i="78"/>
  <c r="N296" i="94"/>
  <c r="K57" i="78"/>
  <c r="K99" i="97"/>
  <c r="BO36" i="84"/>
  <c r="N99" i="97"/>
  <c r="BR36" i="84"/>
  <c r="N37" i="78"/>
  <c r="N57" i="78"/>
  <c r="Q296" i="94"/>
  <c r="I99" i="97"/>
  <c r="L296" i="94"/>
  <c r="I37" i="78"/>
  <c r="BM36" i="84"/>
  <c r="I57" i="78"/>
  <c r="H20" i="97"/>
  <c r="K1629" i="94" s="1"/>
  <c r="K1687" i="94"/>
  <c r="W32" i="97"/>
  <c r="S1728" i="94"/>
  <c r="U1728" i="94" s="1"/>
  <c r="E1729" i="94"/>
  <c r="O37" i="78"/>
  <c r="O99" i="97"/>
  <c r="R296" i="94"/>
  <c r="O57" i="78"/>
  <c r="BS36" i="84"/>
  <c r="Z4" i="5"/>
  <c r="AA4" i="5" s="1"/>
  <c r="D351" i="94"/>
  <c r="BE133" i="84"/>
  <c r="BP36" i="84"/>
  <c r="L57" i="78"/>
  <c r="L37" i="78"/>
  <c r="L99" i="97"/>
  <c r="O296" i="94"/>
  <c r="F99" i="97"/>
  <c r="F57" i="78"/>
  <c r="I296" i="94"/>
  <c r="BJ36" i="84"/>
  <c r="F37" i="78"/>
  <c r="H1641" i="94"/>
  <c r="T32" i="97"/>
  <c r="J20" i="97"/>
  <c r="M1629" i="94" s="1"/>
  <c r="M1687" i="94"/>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P10" i="91" s="1"/>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S20" i="97" l="1"/>
  <c r="J281" i="94"/>
  <c r="G84" i="97"/>
  <c r="G36" i="78"/>
  <c r="F62" i="86"/>
  <c r="P84" i="97"/>
  <c r="I1687" i="94"/>
  <c r="F20" i="97"/>
  <c r="I1629" i="94" s="1"/>
  <c r="Z4" i="4"/>
  <c r="AA4" i="4" s="1"/>
  <c r="AA5" i="4" s="1"/>
  <c r="D15" i="90"/>
  <c r="LH13" i="84"/>
  <c r="E13" i="90"/>
  <c r="LI13" i="84" s="1"/>
  <c r="D14" i="90"/>
  <c r="Q21" i="78"/>
  <c r="S281" i="94" s="1"/>
  <c r="U281" i="94" s="1"/>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HI10" i="84"/>
  <c r="T10" i="91"/>
  <c r="P48" i="91"/>
  <c r="HI48" i="84" s="1"/>
  <c r="O1702" i="94"/>
  <c r="L35" i="97"/>
  <c r="O1644" i="94" s="1"/>
  <c r="K100" i="97"/>
  <c r="BO37" i="84"/>
  <c r="N297" i="94"/>
  <c r="S1641" i="94"/>
  <c r="U1641" i="94" s="1"/>
  <c r="U32" i="97"/>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O100" i="97"/>
  <c r="R297" i="94"/>
  <c r="BS37" i="84"/>
  <c r="I100" i="97"/>
  <c r="L297" i="94"/>
  <c r="BM37" i="84"/>
  <c r="H35" i="97"/>
  <c r="K1644" i="94" s="1"/>
  <c r="K1702" i="94"/>
  <c r="E100" i="97"/>
  <c r="H297" i="94"/>
  <c r="BI37" i="84"/>
  <c r="F100" i="97"/>
  <c r="I297" i="94"/>
  <c r="BJ37" i="84"/>
  <c r="N1702" i="94"/>
  <c r="K35" i="97"/>
  <c r="N1644" i="94" s="1"/>
  <c r="J100" i="97"/>
  <c r="M297" i="94"/>
  <c r="BN37" i="84"/>
  <c r="H100" i="97"/>
  <c r="BL37" i="84"/>
  <c r="K297" i="94"/>
  <c r="M100" i="97"/>
  <c r="BQ37" i="84"/>
  <c r="P297" i="94"/>
  <c r="I35" i="97"/>
  <c r="L1644" i="94" s="1"/>
  <c r="L1702" i="94"/>
  <c r="LS151" i="84"/>
  <c r="H157" i="68"/>
  <c r="LS157" i="84" s="1"/>
  <c r="LT151" i="84"/>
  <c r="I157" i="68"/>
  <c r="LT157" i="84" s="1"/>
  <c r="X31" i="97"/>
  <c r="S1754" i="94"/>
  <c r="U1754" i="94" s="1"/>
  <c r="G1702" i="94"/>
  <c r="D35" i="97"/>
  <c r="U31" i="97"/>
  <c r="S1640" i="94"/>
  <c r="U1640" i="94" s="1"/>
  <c r="D100" i="97"/>
  <c r="AH2" i="78"/>
  <c r="G297" i="94"/>
  <c r="AH3" i="78"/>
  <c r="BH37" i="84"/>
  <c r="AH4" i="78"/>
  <c r="W20" i="97"/>
  <c r="E1717" i="94"/>
  <c r="S1716" i="94"/>
  <c r="U1716" i="94" s="1"/>
  <c r="G1629" i="94"/>
  <c r="P20" i="97"/>
  <c r="S1687" i="94"/>
  <c r="U1687" i="94" s="1"/>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G37" i="78" l="1"/>
  <c r="G99" i="97"/>
  <c r="J296" i="94"/>
  <c r="G57" i="78"/>
  <c r="BK36" i="84"/>
  <c r="J1687" i="94"/>
  <c r="G20" i="97"/>
  <c r="P36" i="78"/>
  <c r="BU21" i="84"/>
  <c r="LH14" i="84"/>
  <c r="E14" i="90"/>
  <c r="LI14" i="84" s="1"/>
  <c r="LH15" i="84"/>
  <c r="E15" i="90"/>
  <c r="LI15" i="84" s="1"/>
  <c r="S1782" i="94"/>
  <c r="U1782" i="94" s="1"/>
  <c r="Y32" i="97"/>
  <c r="E61" i="78"/>
  <c r="BI62" i="84" s="1"/>
  <c r="S1319" i="94"/>
  <c r="U1319" i="94" s="1"/>
  <c r="HL10" i="84"/>
  <c r="T48" i="91"/>
  <c r="S1781" i="94"/>
  <c r="U1781" i="94" s="1"/>
  <c r="Y31" i="97"/>
  <c r="P1703" i="94"/>
  <c r="M36" i="97"/>
  <c r="P1645" i="94" s="1"/>
  <c r="Q1703" i="94"/>
  <c r="N36" i="97"/>
  <c r="Q1645" i="94" s="1"/>
  <c r="E36" i="97"/>
  <c r="H1645" i="94" s="1"/>
  <c r="H1703" i="94"/>
  <c r="R1703" i="94"/>
  <c r="O36" i="97"/>
  <c r="R1645" i="94" s="1"/>
  <c r="K1703" i="94"/>
  <c r="H36" i="97"/>
  <c r="K1645" i="94" s="1"/>
  <c r="O1703" i="94"/>
  <c r="L36" i="97"/>
  <c r="O1645" i="94" s="1"/>
  <c r="N1703" i="94"/>
  <c r="K36" i="97"/>
  <c r="N1645" i="94" s="1"/>
  <c r="M1703" i="94"/>
  <c r="J36" i="97"/>
  <c r="M1645" i="94" s="1"/>
  <c r="I1703" i="94"/>
  <c r="F36" i="97"/>
  <c r="I1645" i="94" s="1"/>
  <c r="I36" i="97"/>
  <c r="L1645" i="94" s="1"/>
  <c r="L1703" i="94"/>
  <c r="G1644" i="94"/>
  <c r="U20" i="97"/>
  <c r="S1629" i="94"/>
  <c r="U1629" i="94" s="1"/>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T7" i="8"/>
  <c r="D15" i="83" s="1"/>
  <c r="D204" i="86"/>
  <c r="CA204" i="84" s="1"/>
  <c r="E37" i="10"/>
  <c r="H72" i="12"/>
  <c r="F73" i="12"/>
  <c r="H31" i="12"/>
  <c r="G20" i="86"/>
  <c r="H42" i="12"/>
  <c r="H43" i="12" s="1"/>
  <c r="I72" i="12"/>
  <c r="G73" i="12"/>
  <c r="K72" i="12"/>
  <c r="D13" i="83"/>
  <c r="B20" i="83"/>
  <c r="C20" i="83"/>
  <c r="D20" i="83" s="1"/>
  <c r="Z1" i="4"/>
  <c r="G3" i="4"/>
  <c r="C3" i="4"/>
  <c r="KO3" i="84" s="1"/>
  <c r="J1629" i="94" l="1"/>
  <c r="T20" i="97"/>
  <c r="BT36" i="84"/>
  <c r="Q36" i="78"/>
  <c r="P37" i="78"/>
  <c r="S35" i="97"/>
  <c r="J1702" i="94"/>
  <c r="G35" i="97"/>
  <c r="P99" i="97"/>
  <c r="AH10" i="78"/>
  <c r="AH11" i="78"/>
  <c r="AH7" i="78"/>
  <c r="AH5" i="78"/>
  <c r="G100" i="97"/>
  <c r="J297" i="94"/>
  <c r="AH12" i="78"/>
  <c r="AH8" i="78"/>
  <c r="BK37" i="84"/>
  <c r="AH9" i="78"/>
  <c r="AH6" i="78"/>
  <c r="S1353" i="94"/>
  <c r="U1353" i="94" s="1"/>
  <c r="HL48" i="84"/>
  <c r="S1770" i="94"/>
  <c r="U1770" i="94" s="1"/>
  <c r="Y20" i="97"/>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G36" i="97" l="1"/>
  <c r="S36" i="97"/>
  <c r="J1703" i="94"/>
  <c r="P100" i="97"/>
  <c r="W35" i="97"/>
  <c r="E1732" i="94"/>
  <c r="S1731" i="94"/>
  <c r="U1731" i="94" s="1"/>
  <c r="E64" i="78"/>
  <c r="BI65" i="84" s="1"/>
  <c r="E60" i="78"/>
  <c r="K61" i="78"/>
  <c r="BO62" i="84" s="1"/>
  <c r="BT37" i="84"/>
  <c r="C11" i="1"/>
  <c r="Q37" i="78"/>
  <c r="S296" i="94"/>
  <c r="U296" i="94" s="1"/>
  <c r="D51" i="78"/>
  <c r="BU36" i="84"/>
  <c r="X20" i="97"/>
  <c r="S1743" i="94"/>
  <c r="U1743" i="94" s="1"/>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BH51" i="84" l="1"/>
  <c r="S306" i="94"/>
  <c r="U306" i="94" s="1"/>
  <c r="D55" i="78"/>
  <c r="S1644" i="94"/>
  <c r="U1644" i="94" s="1"/>
  <c r="U35" i="97"/>
  <c r="BU37" i="84"/>
  <c r="S297" i="94"/>
  <c r="U297" i="94" s="1"/>
  <c r="X35" i="97"/>
  <c r="S1758" i="94"/>
  <c r="U1758" i="94" s="1"/>
  <c r="C11" i="84"/>
  <c r="F11" i="90"/>
  <c r="S1703" i="94"/>
  <c r="U1703" i="94" s="1"/>
  <c r="P36" i="97"/>
  <c r="W36" i="97"/>
  <c r="S1732" i="94"/>
  <c r="U1732" i="94" s="1"/>
  <c r="E1733" i="94"/>
  <c r="BI61" i="84"/>
  <c r="E65" i="78"/>
  <c r="BI66" i="84" s="1"/>
  <c r="E62" i="78"/>
  <c r="J1645" i="94"/>
  <c r="T36" i="97"/>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I10" i="3" s="1"/>
  <c r="J10" i="3" s="1"/>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S1759" i="94" l="1"/>
  <c r="U1759" i="94" s="1"/>
  <c r="X36" i="97"/>
  <c r="U36" i="97"/>
  <c r="S1645" i="94"/>
  <c r="U1645" i="94" s="1"/>
  <c r="Y35" i="97"/>
  <c r="S1785" i="94"/>
  <c r="U1785" i="94" s="1"/>
  <c r="BI63" i="84"/>
  <c r="F64" i="78"/>
  <c r="BJ65" i="84" s="1"/>
  <c r="K60" i="78"/>
  <c r="BO61" i="8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D5" i="78" l="1"/>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10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10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1000-000003000000}">
      <text>
        <r>
          <rPr>
            <b/>
            <sz val="9"/>
            <color indexed="81"/>
            <rFont val="Tahoma"/>
            <family val="2"/>
          </rPr>
          <t>This should provide details of Trade and Other Payables analysed between capital and revenue.</t>
        </r>
      </text>
    </comment>
    <comment ref="B75" authorId="0" shapeId="0" xr:uid="{00000000-0006-0000-10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E00-000001000000}">
      <text>
        <r>
          <rPr>
            <b/>
            <sz val="9"/>
            <color indexed="81"/>
            <rFont val="Tahoma"/>
            <family val="2"/>
          </rPr>
          <t xml:space="preserve">Enter the applicable indicator (R or NR) against each line of anticipated income. </t>
        </r>
      </text>
    </comment>
    <comment ref="I4" authorId="0" shapeId="0" xr:uid="{00000000-0006-0000-0E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E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E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E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E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E00-000007000000}">
      <text>
        <r>
          <rPr>
            <b/>
            <sz val="9"/>
            <color indexed="81"/>
            <rFont val="Tahoma"/>
            <family val="2"/>
          </rPr>
          <t>This should reflect the resource allocation received to date,</t>
        </r>
      </text>
    </comment>
    <comment ref="B13" authorId="0" shapeId="0" xr:uid="{00000000-0006-0000-0E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<sst xmlns="http://schemas.openxmlformats.org/spreadsheetml/2006/main" count="3833" uniqueCount="1497">
  <si>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</si>
  <si>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</si>
  <si>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</si>
  <si>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</si>
  <si>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</si>
  <si>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</si>
  <si>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</si>
  <si>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</si>
  <si>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</si>
  <si>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</si>
  <si>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</si>
  <si>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</si>
  <si>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</si>
  <si>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</si>
  <si>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</si>
  <si>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</si>
  <si>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</si>
  <si>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</si>
  <si>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</si>
  <si>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</si>
  <si>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</si>
  <si>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</si>
  <si>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</si>
  <si>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</si>
  <si>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</si>
  <si>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</si>
  <si>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</si>
  <si>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</si>
  <si>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</si>
  <si>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</si>
  <si>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</si>
  <si>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</si>
  <si>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</si>
  <si>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</si>
  <si>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</si>
  <si>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</si>
  <si>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</si>
  <si>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</si>
  <si>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</si>
  <si>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</si>
  <si>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</si>
  <si>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</si>
  <si>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</si>
  <si>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</si>
  <si>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</si>
  <si>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</si>
  <si>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</si>
  <si>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</si>
  <si>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</si>
  <si>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</si>
  <si>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</si>
  <si>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</si>
  <si>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</si>
  <si>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</si>
  <si>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</si>
  <si>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</si>
  <si>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</si>
  <si>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</si>
  <si>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</si>
  <si>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</si>
  <si>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</si>
  <si>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</si>
  <si>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</si>
  <si>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</si>
  <si>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</si>
  <si>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</si>
  <si>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</si>
  <si>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</si>
  <si>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</si>
  <si>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</si>
  <si>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</si>
  <si>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</si>
  <si>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</si>
  <si>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</si>
  <si>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</si>
  <si>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</si>
  <si>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</si>
  <si>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</si>
  <si>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</si>
  <si>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</si>
  <si>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</si>
  <si>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</si>
  <si>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</si>
  <si>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</si>
  <si>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</si>
  <si>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</si>
  <si>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</si>
  <si>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</si>
  <si>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</si>
  <si>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</si>
  <si>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</si>
  <si>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</si>
  <si>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</si>
  <si>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</si>
  <si>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</si>
  <si>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</si>
  <si>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</si>
  <si>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</si>
  <si>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</si>
  <si>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</si>
  <si>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</si>
  <si>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</si>
  <si>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</si>
  <si>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</si>
  <si>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</si>
  <si>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</si>
  <si>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</si>
  <si>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</si>
  <si>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</si>
  <si>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</si>
  <si>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</si>
  <si>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</si>
  <si>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</si>
  <si>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</si>
  <si>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</si>
  <si>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</si>
  <si>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</si>
  <si>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</si>
  <si>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</si>
  <si>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</si>
  <si>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</si>
  <si>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</si>
  <si>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</si>
  <si>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</si>
  <si>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</si>
  <si>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</si>
  <si>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</si>
  <si>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</si>
  <si>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</si>
  <si>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</si>
  <si>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</si>
  <si>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</si>
  <si>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</si>
  <si>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</si>
  <si>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</si>
  <si>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</si>
  <si>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</si>
  <si>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</si>
  <si>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</si>
  <si>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</si>
  <si>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</si>
  <si>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</si>
  <si>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</si>
  <si>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</si>
  <si>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</si>
  <si>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</si>
  <si>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</si>
  <si>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</si>
  <si>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</si>
  <si>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</si>
  <si>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</si>
  <si>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</si>
  <si>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</si>
  <si>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</si>
  <si>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</si>
  <si>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</si>
  <si>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</si>
  <si>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</si>
  <si>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</si>
  <si>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</si>
  <si>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</si>
  <si>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</si>
  <si>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</si>
  <si>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</si>
  <si>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</si>
  <si>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</si>
  <si>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</si>
  <si>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</si>
  <si>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</si>
  <si>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</si>
  <si>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</si>
  <si>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</si>
  <si>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</si>
  <si>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</si>
  <si>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</si>
  <si>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</si>
  <si>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</si>
  <si>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</si>
  <si>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</si>
  <si>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</si>
  <si>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</si>
  <si>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</si>
  <si>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</si>
  <si>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</si>
  <si>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</si>
  <si>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</si>
  <si>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</si>
  <si>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</si>
  <si>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</si>
  <si>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</si>
  <si>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</si>
  <si>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</si>
  <si>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</si>
  <si>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</si>
  <si>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</si>
  <si>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</si>
  <si>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</si>
  <si>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</si>
  <si>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</si>
  <si>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</si>
  <si>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</si>
  <si>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</si>
  <si>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</si>
  <si>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</si>
  <si>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</si>
  <si>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</si>
  <si>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</si>
  <si>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</si>
  <si>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</si>
  <si>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</si>
  <si>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</si>
  <si>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</si>
  <si>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</si>
  <si>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</si>
  <si>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</si>
  <si>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</si>
  <si>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</si>
  <si>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</si>
  <si>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</si>
  <si>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</si>
  <si>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</si>
  <si>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</si>
  <si>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</si>
  <si>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</si>
  <si>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</si>
  <si>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</si>
  <si>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</si>
  <si>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</si>
  <si>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</si>
  <si>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</si>
  <si>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</si>
  <si>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</si>
  <si>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</si>
  <si>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</si>
  <si>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</si>
  <si>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</si>
  <si>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</si>
  <si>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</si>
  <si>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</si>
  <si>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</si>
  <si>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</si>
  <si>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</si>
  <si>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</si>
  <si>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</si>
  <si>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</si>
  <si>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</si>
  <si>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</si>
  <si>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</si>
  <si>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</si>
  <si>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</si>
  <si>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</si>
  <si>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</si>
  <si>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</si>
  <si>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</si>
  <si>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</si>
  <si>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</si>
  <si>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</si>
  <si>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</si>
  <si>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</si>
  <si>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</si>
  <si>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</si>
  <si>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</si>
  <si>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</si>
  <si>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</si>
  <si>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</si>
  <si>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</si>
  <si>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</si>
  <si>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</si>
  <si>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</si>
  <si>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</si>
  <si>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</si>
  <si>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</si>
  <si>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</si>
  <si>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</si>
  <si>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</si>
  <si>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</si>
  <si>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</si>
  <si>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</si>
  <si>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</si>
  <si>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</si>
  <si>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</si>
  <si>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</si>
  <si>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</si>
  <si>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</si>
  <si>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</si>
  <si>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</si>
  <si>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</si>
  <si>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</si>
  <si>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</si>
  <si>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</si>
  <si>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</si>
  <si>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</si>
  <si>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</si>
  <si>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</si>
  <si>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</si>
  <si>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</si>
  <si>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</si>
  <si>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</si>
  <si>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</si>
  <si>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</si>
  <si>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</si>
  <si>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</si>
  <si>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</si>
  <si>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</si>
  <si>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</si>
  <si>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</si>
  <si>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</si>
  <si>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</si>
  <si>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</si>
  <si>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</si>
  <si>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</si>
  <si>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</si>
  <si>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</si>
  <si>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</si>
  <si>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</si>
  <si>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</si>
  <si>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</si>
  <si>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</si>
  <si>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</si>
  <si>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</si>
  <si>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</si>
  <si>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</si>
  <si>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</si>
  <si>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</si>
  <si>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</si>
  <si>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</si>
  <si>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</si>
  <si>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</si>
  <si>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</si>
  <si>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</si>
  <si>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</si>
  <si>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</si>
  <si>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</si>
  <si>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</si>
  <si>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</si>
  <si>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</si>
  <si>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</si>
  <si>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</si>
  <si>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</si>
  <si>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</si>
  <si>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</si>
  <si>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</si>
  <si>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</si>
  <si>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</si>
  <si>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</si>
  <si>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</si>
  <si>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</si>
  <si>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</si>
  <si>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</si>
  <si>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</si>
  <si>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</si>
  <si>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</si>
  <si>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</si>
  <si>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</si>
  <si>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</si>
  <si>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</si>
  <si>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</si>
  <si>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</si>
  <si>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</si>
  <si>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</si>
  <si>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</si>
  <si>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</si>
  <si>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</si>
  <si>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</si>
  <si>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</si>
  <si>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</si>
  <si>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</si>
  <si>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</si>
  <si>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</si>
  <si>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</si>
  <si>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</si>
  <si>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</si>
  <si>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</si>
  <si>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</si>
  <si>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</si>
  <si>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</si>
  <si>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</si>
  <si>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</si>
  <si>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</si>
  <si>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</si>
  <si>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</si>
  <si>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</si>
  <si>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</si>
  <si>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</si>
  <si>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</si>
  <si>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</si>
  <si>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</si>
  <si>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</si>
  <si>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</si>
  <si>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</si>
  <si>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</si>
  <si>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</si>
  <si>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</si>
  <si>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</si>
  <si>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</si>
  <si>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</si>
  <si>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</si>
  <si>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</si>
  <si>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</si>
  <si>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</si>
  <si>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</si>
  <si>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</si>
  <si>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</si>
  <si>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</si>
  <si>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</si>
  <si>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</si>
  <si>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</si>
  <si>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</si>
  <si>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</si>
  <si>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</si>
  <si>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</si>
  <si>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</si>
  <si>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</si>
  <si>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</si>
  <si>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</si>
  <si>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</si>
  <si>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</si>
  <si>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</si>
  <si>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</si>
  <si>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</si>
  <si>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</si>
  <si>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</si>
  <si>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</si>
  <si>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</si>
  <si>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</si>
  <si>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</si>
  <si>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</si>
  <si>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</si>
  <si>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</si>
  <si>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</si>
  <si>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</si>
  <si>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</si>
  <si>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</si>
  <si>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</si>
  <si>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</si>
  <si>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</si>
  <si>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</si>
  <si>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</si>
  <si>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</si>
  <si>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</si>
  <si>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</si>
  <si>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</si>
  <si>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</si>
  <si>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</si>
  <si>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</si>
  <si>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</si>
  <si>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</si>
  <si>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</si>
  <si>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</si>
  <si>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</si>
  <si>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</si>
  <si>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</si>
  <si>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</si>
  <si>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</si>
  <si>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</si>
  <si>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</si>
  <si>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</si>
  <si>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</si>
  <si>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</si>
  <si>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</si>
  <si>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</si>
  <si>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</si>
  <si>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</si>
  <si>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</si>
  <si>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</si>
  <si>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</si>
  <si>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</si>
  <si>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</si>
  <si>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</si>
  <si>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</si>
  <si>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</si>
  <si>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</si>
  <si>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</si>
  <si>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</si>
  <si>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</si>
  <si>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</si>
  <si>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</si>
  <si>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</si>
  <si>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</si>
  <si>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</si>
  <si>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</si>
  <si>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</si>
  <si>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</si>
  <si>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</si>
  <si>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</si>
  <si>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</si>
  <si>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</si>
  <si>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</si>
  <si>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</si>
  <si>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</si>
  <si>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</si>
  <si>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</si>
  <si>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</si>
  <si>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</si>
  <si>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</si>
  <si>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</si>
  <si>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</si>
  <si>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</si>
  <si>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</si>
  <si>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</si>
  <si>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</si>
  <si>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</si>
  <si>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</si>
  <si>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</si>
  <si>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</si>
  <si>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</si>
  <si>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</si>
  <si>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</si>
  <si>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</si>
  <si>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</si>
  <si>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</si>
  <si>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</si>
  <si>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</si>
  <si>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</si>
  <si>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</si>
  <si>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</si>
  <si>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</si>
  <si>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</si>
  <si>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</si>
  <si>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</si>
  <si>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</si>
  <si>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</si>
  <si>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</si>
  <si>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</si>
  <si>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</si>
  <si>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</si>
  <si>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</si>
  <si>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</si>
  <si>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</si>
  <si>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</si>
  <si>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</si>
  <si>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</si>
  <si>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</si>
  <si>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</si>
  <si>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</si>
  <si>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</si>
  <si>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</si>
  <si>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</si>
  <si>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</si>
  <si>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</si>
  <si>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</si>
  <si>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</si>
  <si>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</si>
  <si>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</si>
  <si>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</si>
  <si>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</si>
  <si>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</si>
  <si>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</si>
  <si>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</si>
  <si>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</si>
  <si>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</si>
  <si>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</si>
  <si>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</si>
  <si>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</si>
  <si>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</si>
  <si>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</si>
  <si>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</si>
  <si>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</si>
  <si>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</si>
  <si>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</si>
  <si>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</si>
  <si>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</si>
  <si>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</si>
  <si>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</si>
  <si>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</si>
  <si>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</si>
  <si>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</si>
  <si>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</si>
  <si>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</si>
  <si>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</si>
  <si>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</si>
  <si>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</si>
  <si>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</si>
  <si>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</si>
  <si>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</si>
  <si>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</si>
  <si>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</si>
  <si>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</si>
  <si>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</si>
  <si>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</si>
  <si>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</si>
  <si>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</si>
  <si>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</si>
  <si>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</si>
  <si>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</si>
  <si>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</si>
  <si>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</si>
  <si>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</si>
  <si>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</si>
  <si>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</si>
  <si>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</si>
  <si>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</si>
  <si>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</si>
  <si>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</si>
  <si>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</si>
  <si>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</si>
  <si>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</si>
  <si>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</si>
  <si>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</si>
  <si>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</si>
  <si>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</si>
  <si>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</si>
  <si>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</si>
  <si>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</si>
  <si>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</si>
  <si>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</si>
  <si>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</si>
  <si>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</si>
  <si>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</si>
  <si>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</si>
  <si>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</si>
  <si>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</si>
  <si>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</si>
  <si>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</si>
  <si>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</si>
  <si>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</si>
  <si>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</si>
  <si>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</si>
  <si>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</si>
  <si>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</si>
  <si>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</si>
  <si>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</si>
  <si>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</si>
  <si>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</si>
  <si>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</si>
  <si>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</si>
  <si>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</si>
  <si>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</si>
  <si>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</si>
  <si>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</si>
  <si>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</si>
  <si>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</si>
  <si>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</si>
  <si>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</si>
  <si>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</si>
  <si>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</si>
  <si>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</si>
  <si>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</si>
  <si>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</si>
  <si>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</si>
  <si>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</si>
  <si>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</si>
  <si>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</si>
  <si>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</si>
  <si>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</si>
  <si>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</si>
  <si>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</si>
  <si>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</si>
  <si>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</si>
  <si>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</si>
  <si>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</si>
  <si>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</si>
  <si>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</si>
  <si>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</si>
  <si>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</si>
  <si>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</si>
  <si>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</si>
  <si>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</si>
  <si>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</si>
  <si>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</si>
  <si>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</si>
  <si>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</si>
  <si>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</si>
  <si>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</si>
  <si>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</si>
  <si>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</si>
  <si>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</si>
  <si>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</si>
  <si>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</si>
  <si>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</si>
  <si>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</si>
  <si>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</si>
  <si>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</si>
  <si>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</si>
  <si>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</si>
  <si>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</si>
  <si>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</si>
  <si>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</si>
  <si>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</si>
  <si>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</si>
  <si>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</si>
  <si>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</si>
  <si>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</si>
  <si>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</si>
  <si>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</si>
  <si>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</si>
  <si>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</si>
  <si>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</si>
  <si>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</si>
  <si>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</si>
  <si>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</si>
  <si>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</si>
  <si>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</si>
  <si>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</si>
  <si>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</si>
  <si>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</si>
  <si>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</si>
  <si>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</si>
  <si>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</si>
  <si>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</si>
  <si>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</si>
  <si>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</si>
  <si>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</si>
  <si>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</si>
  <si>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</si>
  <si>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</si>
  <si>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</si>
  <si>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</si>
  <si>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</si>
  <si>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</si>
  <si>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</si>
  <si>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</si>
  <si>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</si>
  <si>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</si>
  <si>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</si>
  <si>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</si>
  <si>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</si>
  <si>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</si>
  <si>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</si>
  <si>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</si>
  <si>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</si>
  <si>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</si>
  <si>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</si>
  <si>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</si>
  <si>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</si>
  <si>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</si>
  <si>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</si>
  <si>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</si>
  <si>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</si>
  <si>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</si>
  <si>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</si>
  <si>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</si>
  <si>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</si>
  <si>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</si>
  <si>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</si>
  <si>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</si>
  <si>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</si>
  <si>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</si>
  <si>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</si>
  <si>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</si>
  <si>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</si>
  <si>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</si>
  <si>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</si>
  <si>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</si>
  <si>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</si>
  <si>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</si>
  <si>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</si>
  <si>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</si>
  <si>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</si>
  <si>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</si>
  <si>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</si>
  <si>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</si>
  <si>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</si>
  <si>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</si>
  <si>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</si>
  <si>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</si>
  <si>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</si>
  <si>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</si>
  <si>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</si>
  <si>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</si>
  <si>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</si>
  <si>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</si>
  <si>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</si>
  <si>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</si>
  <si>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</si>
  <si>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</si>
  <si>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</si>
  <si>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</si>
  <si>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</si>
  <si>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</si>
  <si>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</si>
  <si>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</si>
  <si>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</si>
  <si>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</si>
  <si>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</si>
  <si>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</si>
  <si>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</si>
  <si>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</si>
  <si>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</si>
  <si>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</si>
  <si>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</si>
  <si>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</si>
  <si>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</si>
  <si>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</si>
  <si>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</si>
  <si>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</si>
  <si>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</si>
  <si>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</si>
  <si>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</si>
  <si>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</si>
  <si>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</si>
  <si>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</si>
  <si>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</si>
  <si>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</si>
  <si>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</si>
  <si>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</si>
  <si>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</si>
  <si>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</si>
  <si>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</si>
  <si>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</si>
  <si>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</si>
  <si>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</si>
  <si>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</si>
  <si>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</si>
  <si>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</si>
  <si>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</si>
  <si>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</si>
  <si>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</si>
  <si>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</si>
  <si>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</si>
  <si>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</si>
  <si>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</si>
  <si>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</si>
  <si>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</si>
  <si>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</si>
  <si>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</si>
  <si>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</si>
  <si>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</si>
  <si>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</si>
  <si>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</si>
  <si>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</si>
  <si>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</si>
  <si>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</si>
  <si>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</si>
  <si>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</si>
  <si>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</si>
  <si>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</si>
  <si>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</si>
  <si>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</si>
  <si>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</si>
  <si>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</si>
  <si>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</si>
  <si>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</si>
  <si>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</si>
  <si>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</si>
  <si>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</si>
  <si>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</si>
  <si>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</si>
  <si>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</si>
  <si>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</si>
  <si>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</si>
  <si>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</si>
  <si>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</si>
  <si>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</si>
  <si>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</si>
  <si>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</si>
  <si>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</si>
  <si>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</si>
  <si>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</si>
  <si>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</si>
  <si>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</si>
  <si>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</si>
  <si>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</si>
  <si>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</si>
  <si>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</si>
  <si>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</si>
  <si>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</si>
  <si>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</si>
  <si>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</si>
  <si>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</si>
  <si>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</si>
  <si>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</si>
  <si>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</si>
  <si>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</si>
  <si>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</si>
  <si>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</si>
  <si>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</si>
  <si>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</si>
  <si>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</si>
  <si>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</si>
  <si>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</si>
  <si>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</si>
  <si>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</si>
  <si>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</si>
  <si>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</si>
  <si>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</si>
  <si>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</si>
  <si>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</si>
  <si>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</si>
  <si>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</si>
  <si>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</si>
  <si>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</si>
  <si>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</si>
  <si>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</si>
  <si>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</si>
  <si>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</si>
  <si>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</si>
  <si>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</si>
  <si>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</si>
  <si>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</si>
  <si>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</si>
  <si>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</si>
  <si>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</si>
  <si>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</si>
  <si>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</si>
  <si>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</si>
  <si>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</si>
  <si>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</si>
  <si>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</si>
  <si>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</si>
  <si>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</si>
  <si>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</si>
  <si>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</si>
  <si>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</si>
  <si>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</si>
  <si>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</si>
  <si>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</si>
  <si>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</si>
  <si>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</si>
  <si>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</si>
  <si>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</si>
  <si>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</si>
  <si>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</si>
  <si>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</si>
  <si>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</si>
  <si>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</si>
  <si>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</si>
  <si>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</si>
  <si>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</si>
  <si>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</si>
  <si>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</si>
  <si>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</si>
  <si>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</si>
  <si>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</si>
  <si>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</si>
  <si>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</si>
  <si>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</si>
  <si>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</si>
  <si>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</si>
  <si>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</si>
  <si>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</si>
  <si>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</si>
  <si>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</si>
  <si>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</si>
  <si>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</si>
  <si>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</si>
  <si>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</si>
  <si>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</si>
  <si>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</si>
  <si>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</si>
  <si>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</si>
  <si>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</si>
  <si>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</si>
  <si>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</si>
  <si>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</si>
  <si>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</si>
  <si>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</si>
  <si>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</si>
  <si>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</si>
  <si>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</si>
  <si>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</si>
  <si>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</si>
  <si>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</si>
  <si>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</si>
  <si>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</si>
  <si>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</si>
  <si>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</si>
  <si>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</si>
  <si>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</si>
  <si>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</si>
  <si>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</si>
  <si>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</si>
  <si>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</si>
  <si>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</si>
  <si>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</si>
  <si>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</si>
  <si>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</si>
  <si>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</si>
  <si>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</si>
  <si>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</si>
  <si>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</si>
  <si>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</si>
  <si>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</si>
  <si>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</si>
  <si>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</si>
  <si>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</si>
  <si>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</si>
  <si>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</si>
  <si>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</si>
  <si>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</si>
  <si>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</si>
  <si>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</si>
  <si>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</si>
  <si>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</si>
  <si>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</si>
  <si>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</si>
  <si>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</si>
  <si>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</si>
  <si>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</si>
  <si>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</si>
  <si>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</si>
  <si>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</si>
  <si>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</si>
  <si>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</si>
  <si>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</si>
  <si>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</si>
  <si>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</si>
  <si>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</si>
  <si>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</si>
  <si>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</si>
  <si>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</si>
  <si>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</si>
  <si>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</si>
  <si>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</si>
  <si>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</si>
  <si>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</si>
  <si>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</si>
  <si>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</si>
  <si>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</si>
  <si>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</si>
  <si>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</si>
  <si>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</si>
  <si>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</si>
  <si>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</si>
  <si>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</si>
  <si>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</si>
  <si>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</si>
  <si>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</si>
  <si>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</si>
  <si>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</si>
  <si>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</si>
  <si>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</si>
  <si>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</si>
  <si>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</si>
  <si>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</si>
  <si>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</si>
  <si>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</si>
  <si>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</si>
  <si>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</si>
  <si>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</si>
  <si>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</si>
  <si>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</si>
  <si>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</si>
  <si>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</si>
  <si>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</si>
  <si>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</si>
  <si>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</si>
  <si>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</si>
  <si>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</si>
  <si>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</si>
  <si>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</si>
  <si>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</si>
  <si>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</si>
  <si>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</si>
  <si>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</si>
  <si>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</si>
  <si>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</si>
  <si>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</si>
  <si>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</si>
  <si>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</si>
  <si>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</si>
  <si>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</si>
  <si>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</si>
  <si>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</si>
  <si>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</si>
  <si>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</si>
  <si>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</si>
  <si>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</si>
  <si>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</si>
  <si>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</si>
  <si>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</si>
  <si>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</si>
  <si>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</si>
  <si>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</si>
  <si>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</si>
  <si>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</si>
  <si>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</si>
  <si>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</si>
  <si>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</si>
  <si>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</si>
  <si>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</si>
  <si>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</si>
  <si>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</si>
  <si>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</si>
  <si>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</si>
  <si>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</si>
  <si>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</si>
  <si>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</si>
  <si>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</si>
  <si>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</si>
  <si>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</si>
  <si>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</si>
  <si>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</si>
  <si>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</si>
  <si>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</si>
  <si>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</si>
  <si>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</si>
  <si>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</si>
  <si>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</si>
  <si>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</si>
  <si>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</si>
  <si>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</si>
  <si>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</si>
  <si>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</si>
  <si>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</si>
  <si>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</si>
  <si>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</si>
  <si>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</si>
  <si>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</si>
  <si>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</si>
  <si>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</si>
  <si>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</si>
  <si>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</si>
  <si>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</si>
  <si>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</si>
  <si>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</si>
  <si>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</si>
  <si>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</si>
  <si>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</si>
  <si>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</si>
  <si>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</si>
  <si>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</si>
  <si>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</si>
  <si>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</si>
  <si>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</si>
  <si>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</si>
  <si>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</si>
  <si>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</si>
  <si>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</si>
  <si>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</si>
  <si>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</si>
  <si>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</si>
  <si>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</si>
  <si>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</si>
  <si>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</si>
  <si>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</si>
  <si>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</si>
  <si>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</si>
  <si>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</si>
  <si>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</si>
  <si>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</si>
  <si>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</si>
  <si>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</si>
  <si>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</si>
  <si>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</si>
  <si>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</si>
  <si>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</si>
  <si>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</si>
  <si>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</si>
  <si>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</si>
  <si>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</si>
  <si>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</si>
  <si>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</si>
  <si>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</si>
  <si>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</si>
  <si>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</si>
  <si>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</si>
  <si>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</si>
  <si>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</si>
  <si>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</si>
  <si>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</si>
  <si>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</si>
  <si>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</si>
  <si>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</si>
  <si>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</si>
  <si>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</si>
  <si>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</si>
  <si>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</si>
  <si>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</si>
  <si>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</si>
  <si>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</si>
  <si>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</si>
  <si>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</si>
  <si>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</si>
  <si>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</si>
  <si>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</si>
  <si>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</si>
  <si>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</si>
  <si>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</si>
  <si>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</si>
  <si>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</si>
  <si>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</si>
  <si>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</si>
  <si>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</si>
  <si>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</si>
  <si>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</si>
  <si>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</si>
  <si>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</si>
  <si>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</si>
  <si>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</si>
  <si>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</si>
  <si>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</si>
  <si>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</si>
  <si>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</si>
  <si>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</si>
  <si>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</si>
  <si>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</si>
  <si>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</si>
  <si>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</si>
  <si>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</si>
  <si>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</si>
  <si>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</si>
  <si>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</si>
  <si>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</si>
  <si>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</si>
  <si>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</si>
  <si>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</si>
  <si>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</si>
  <si>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</si>
  <si>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</si>
  <si>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</si>
  <si>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</si>
  <si>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</si>
  <si>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</si>
  <si>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</si>
  <si>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</si>
  <si>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</si>
  <si>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</si>
  <si>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</si>
  <si>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</si>
  <si>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</si>
  <si>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</si>
  <si>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</si>
  <si>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</si>
  <si>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</si>
  <si>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</si>
  <si>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</si>
  <si>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</si>
  <si>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</si>
  <si>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</si>
  <si>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</si>
  <si>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</si>
  <si>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</si>
  <si>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</si>
  <si>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</si>
  <si>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</si>
  <si>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</si>
  <si>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</si>
  <si>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</si>
  <si>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</si>
  <si>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</si>
  <si>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</si>
  <si>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</si>
  <si>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</si>
  <si>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</si>
  <si>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</si>
  <si>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</si>
  <si>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</si>
  <si>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</si>
  <si>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</si>
  <si>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</si>
  <si>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</si>
  <si>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</si>
  <si>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</si>
  <si>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</si>
  <si>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</si>
  <si>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</si>
  <si>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</si>
  <si>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</si>
  <si>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</si>
  <si>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</si>
  <si>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</si>
  <si>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</si>
  <si>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</si>
  <si>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</si>
  <si>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</si>
  <si>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</si>
  <si>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</si>
  <si>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</si>
  <si>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</si>
  <si>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</si>
  <si>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</si>
  <si>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</si>
  <si>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</si>
  <si>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</si>
  <si>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</si>
  <si>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</si>
  <si>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</si>
  <si>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</si>
  <si>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</si>
  <si>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</si>
  <si>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</si>
  <si>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</si>
  <si>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</si>
  <si>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</si>
  <si>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</si>
  <si>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</si>
  <si>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</si>
  <si>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</si>
  <si>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</si>
  <si>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</si>
  <si>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</si>
  <si>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</si>
  <si>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</si>
  <si>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</si>
  <si>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</si>
  <si>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</si>
  <si>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</si>
  <si>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</si>
  <si>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</si>
  <si>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</si>
  <si>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</si>
  <si>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</si>
  <si>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</si>
  <si>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</si>
  <si>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</si>
  <si>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</si>
  <si>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</si>
  <si>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</si>
  <si>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</si>
  <si>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</si>
  <si>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</si>
  <si>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</si>
  <si>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</si>
  <si>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</si>
  <si>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</si>
  <si>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</si>
  <si>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</si>
  <si>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</si>
  <si>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</si>
  <si>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</si>
  <si>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</si>
  <si>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</si>
  <si>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</si>
  <si>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</si>
  <si>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</si>
  <si>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</si>
  <si>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</si>
  <si>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</si>
  <si>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</si>
  <si>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</si>
  <si>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</si>
  <si>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</si>
  <si>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</si>
  <si>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</si>
  <si>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</si>
  <si>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</si>
  <si>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</si>
  <si>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</si>
  <si>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</si>
  <si>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</si>
  <si>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</si>
  <si>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</si>
  <si>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</si>
  <si>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</si>
  <si>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</si>
  <si>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</si>
  <si>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</si>
  <si>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</si>
  <si>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</si>
  <si>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</si>
  <si>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</si>
  <si>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</si>
  <si>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</si>
  <si>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</si>
  <si>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</si>
  <si>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</si>
  <si>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</si>
  <si>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</si>
  <si>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</si>
  <si>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</si>
  <si>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</si>
  <si>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</si>
  <si>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</si>
  <si>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</si>
  <si>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</si>
  <si>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</si>
  <si>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</si>
  <si>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</si>
  <si>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</si>
  <si>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</si>
  <si>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</si>
  <si>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</si>
  <si>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</si>
  <si>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</si>
  <si>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</si>
  <si>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</si>
  <si>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</si>
  <si>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</si>
  <si>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</si>
  <si>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</si>
  <si>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</si>
  <si>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</si>
  <si>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</si>
  <si>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</si>
  <si>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</si>
  <si>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</si>
  <si>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</si>
  <si>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</si>
  <si>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</si>
  <si>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</si>
  <si>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</si>
  <si>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</si>
  <si>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</si>
  <si>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</si>
  <si>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</si>
  <si>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</si>
  <si>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</si>
  <si>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</si>
  <si>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</si>
  <si>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</si>
  <si>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</si>
  <si>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</si>
  <si>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</si>
  <si>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</si>
  <si>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</si>
  <si>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</si>
  <si>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</si>
  <si>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</si>
  <si>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</si>
  <si>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</si>
  <si>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</si>
  <si>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</si>
  <si>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</si>
  <si>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</si>
  <si>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</si>
  <si>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</si>
  <si>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</si>
  <si>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</si>
  <si>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</si>
  <si>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</si>
  <si>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</si>
  <si>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</si>
  <si>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</si>
  <si>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</si>
  <si>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</si>
  <si>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</si>
  <si>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</si>
  <si>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</si>
  <si>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</si>
  <si>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</si>
  <si>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</si>
  <si>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</si>
  <si>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</si>
  <si>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</si>
  <si>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</si>
  <si>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</si>
  <si>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</si>
  <si>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</si>
  <si>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</si>
  <si>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</si>
  <si>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</si>
  <si>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</si>
  <si>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</si>
  <si>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</si>
  <si>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</si>
  <si>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</si>
  <si>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</si>
  <si>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</si>
  <si>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</si>
  <si>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</si>
  <si>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</si>
  <si>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</si>
  <si>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</si>
  <si>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</si>
  <si>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</si>
  <si>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</si>
  <si>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PHW Capital Schemes:</t>
  </si>
  <si>
    <t xml:space="preserve">Screening Equipment Replacement (BTW Imaging Equip) </t>
  </si>
  <si>
    <t>Hosted Capital Schemes:</t>
  </si>
  <si>
    <t>(EFAB) - Fire Compliance Works</t>
  </si>
  <si>
    <t>(EFAB) - Decarbonisation Scheme</t>
  </si>
  <si>
    <t>Dean Phillips</t>
  </si>
  <si>
    <t>Chris Orr</t>
  </si>
  <si>
    <t>Hosted (NHS Wales Health Collaborative) Capital Schemes:</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</si>
  <si>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</si>
  <si>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</si>
  <si>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</si>
  <si>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</si>
  <si>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</si>
  <si>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</si>
  <si>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</si>
  <si>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</si>
  <si>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</si>
  <si>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</si>
  <si>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</si>
  <si>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</si>
  <si>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</si>
  <si>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</si>
  <si>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</si>
  <si>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</si>
  <si>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</si>
  <si>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</si>
  <si>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</si>
  <si>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</si>
  <si>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</si>
  <si>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Entered in P01 - Invoice raised for P01 - P03</t>
  </si>
  <si>
    <t>50054693</t>
  </si>
  <si>
    <t>50054694</t>
  </si>
  <si>
    <t>50054695</t>
  </si>
  <si>
    <t>50054696</t>
  </si>
  <si>
    <t>50054697</t>
  </si>
  <si>
    <t>50054698</t>
  </si>
  <si>
    <t>50054699</t>
  </si>
  <si>
    <t>50054700</t>
  </si>
  <si>
    <t>50054701</t>
  </si>
  <si>
    <t>50054702</t>
  </si>
  <si>
    <t>50054703</t>
  </si>
  <si>
    <t>50054704</t>
  </si>
  <si>
    <t>50054705</t>
  </si>
  <si>
    <t>50054706</t>
  </si>
  <si>
    <t>50054707</t>
  </si>
  <si>
    <t>50054708</t>
  </si>
  <si>
    <t>50054709</t>
  </si>
  <si>
    <t>Pre-arbitration letter issued 02-08-2023</t>
  </si>
  <si>
    <t>2023-24 5% pay award (based on actuals paid to date)</t>
  </si>
  <si>
    <t>M1-4 Consolidated pay award (1.5%) (based on actuals paid to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</si>
</sst>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1640625" defaultRowHeight="20.100000000000001" customHeight="1"/>
  <cols>
    <col min="1" max="1" width="8.81640625" style="1924"/>
    <col min="2" max="2" width="37.08984375" style="1924" bestFit="1" customWidth="1"/>
    <col min="3" max="4" width="9.81640625" style="1924" customWidth="1"/>
    <col min="5" max="6" width="8.81640625" style="1924"/>
    <col min="7" max="7" width="11.453125" style="1924" customWidth="1"/>
    <col min="8" max="8" width="12.08984375" style="1924" customWidth="1"/>
    <col min="9" max="12" width="8.81640625" style="1924"/>
    <col min="13" max="13" width="6.08984375" style="1924" customWidth="1"/>
    <col min="14" max="14" width="94.54296875" style="1924" customWidth="1"/>
    <col min="15" max="18" width="8.54296875" style="1924" customWidth="1"/>
    <col min="19" max="20" width="8.81640625" style="1924"/>
    <col min="21" max="21" width="6.08984375" style="1924" customWidth="1"/>
    <col min="22" max="22" width="92.81640625" style="1924" customWidth="1"/>
    <col min="23" max="34" width="9.81640625" style="1924" customWidth="1"/>
    <col min="35" max="39" width="8.54296875" style="1924" customWidth="1"/>
    <col min="40" max="42" width="8.81640625" style="1924"/>
    <col min="43" max="43" width="52.1796875" style="1924" bestFit="1" customWidth="1"/>
    <col min="44" max="52" width="8.81640625" style="1924"/>
    <col min="53" max="53" width="56.08984375" style="1924" customWidth="1"/>
    <col min="54" max="55" width="12.08984375" style="1924" customWidth="1"/>
    <col min="56" max="57" width="6.08984375" style="1924" customWidth="1"/>
    <col min="58" max="58" width="60.54296875" style="1924" bestFit="1" customWidth="1"/>
    <col min="59" max="59" width="30.1796875" style="1924" bestFit="1" customWidth="1"/>
    <col min="60" max="60" width="11.08984375" style="1924" customWidth="1"/>
    <col min="61" max="61" width="8.1796875" style="1924" customWidth="1"/>
    <col min="62" max="72" width="8.81640625" style="1924"/>
    <col min="73" max="73" width="10.81640625" style="1924" customWidth="1"/>
    <col min="74" max="76" width="8.81640625" style="1924" customWidth="1"/>
    <col min="77" max="77" width="98.1796875" style="1924" bestFit="1" customWidth="1"/>
    <col min="78" max="91" width="8.81640625" style="1924" customWidth="1"/>
    <col min="92" max="93" width="8.81640625" style="1924"/>
    <col min="94" max="94" width="45.54296875" style="1924" bestFit="1" customWidth="1"/>
    <col min="95" max="110" width="8.81640625" style="1924"/>
    <col min="111" max="111" width="80.81640625" style="2826" bestFit="1" customWidth="1"/>
    <col min="112" max="128" width="8.81640625" style="1924"/>
    <col min="129" max="129" width="9.1796875" style="1924" customWidth="1"/>
    <col min="130" max="130" width="14.81640625" style="1924" customWidth="1"/>
    <col min="131" max="131" width="16" style="1924" customWidth="1"/>
    <col min="132" max="149" width="8.81640625" style="1924"/>
    <col min="150" max="152" width="9.453125" style="1924" customWidth="1"/>
    <col min="153" max="177" width="8.81640625" style="1924"/>
    <col min="178" max="178" width="31.1796875" style="1924" bestFit="1" customWidth="1"/>
    <col min="179" max="185" width="11" style="1924" customWidth="1"/>
    <col min="186" max="188" width="8.81640625" style="1924"/>
    <col min="189" max="189" width="44.08984375" style="1924" bestFit="1" customWidth="1"/>
    <col min="190" max="190" width="15.453125" style="1924" customWidth="1"/>
    <col min="191" max="193" width="10.453125" style="1924" customWidth="1"/>
    <col min="194" max="194" width="13.1796875" style="1924" bestFit="1" customWidth="1"/>
    <col min="195" max="195" width="13.81640625" style="1924" bestFit="1" customWidth="1"/>
    <col min="196" max="196" width="16.1796875" style="1924" bestFit="1" customWidth="1"/>
    <col min="197" max="197" width="15.81640625" style="1924" bestFit="1" customWidth="1"/>
    <col min="198" max="198" width="14.81640625" style="1924" bestFit="1" customWidth="1"/>
    <col min="199" max="199" width="15.453125" style="1924" bestFit="1" customWidth="1"/>
    <col min="200" max="202" width="8.81640625" style="1924"/>
    <col min="203" max="203" width="39.453125" style="1924" customWidth="1"/>
    <col min="204" max="223" width="8.81640625" style="1924"/>
    <col min="224" max="224" width="64.453125" style="1924" bestFit="1" customWidth="1"/>
    <col min="225" max="227" width="18" style="1924" customWidth="1"/>
    <col min="228" max="230" width="8.81640625" style="1924"/>
    <col min="231" max="231" width="49.1796875" style="1924" bestFit="1" customWidth="1"/>
    <col min="232" max="244" width="10.81640625" style="1924" customWidth="1"/>
    <col min="245" max="246" width="8.81640625" style="1924"/>
    <col min="247" max="247" width="16.1796875" style="1924" bestFit="1" customWidth="1"/>
    <col min="248" max="248" width="50.453125" style="1924" bestFit="1" customWidth="1"/>
    <col min="249" max="258" width="9.1796875" style="1924" customWidth="1"/>
    <col min="259" max="263" width="8.81640625" style="1924"/>
    <col min="264" max="264" width="10.1796875" style="1924" customWidth="1"/>
    <col min="265" max="265" width="29.1796875" style="1924" customWidth="1"/>
    <col min="266" max="266" width="35.1796875" style="1924" bestFit="1" customWidth="1"/>
    <col min="267" max="267" width="7.81640625" style="1924" customWidth="1"/>
    <col min="268" max="268" width="8.54296875" style="1924" bestFit="1" customWidth="1"/>
    <col min="269" max="269" width="7.08984375" style="1924" customWidth="1"/>
    <col min="270" max="270" width="5.54296875" style="1924" bestFit="1" customWidth="1"/>
    <col min="271" max="271" width="8.08984375" style="1924" bestFit="1" customWidth="1"/>
    <col min="272" max="272" width="8.54296875" style="1924" bestFit="1" customWidth="1"/>
    <col min="273" max="273" width="4.54296875" style="1924" customWidth="1"/>
    <col min="274" max="274" width="8.54296875" style="1924" customWidth="1"/>
    <col min="275" max="276" width="9.08984375" style="1924" customWidth="1"/>
    <col min="277" max="277" width="8.81640625" style="1924"/>
    <col min="278" max="296" width="9.81640625" style="1924" customWidth="1"/>
    <col min="297" max="299" width="8.81640625" style="1924"/>
    <col min="300" max="300" width="25" style="1924" customWidth="1"/>
    <col min="301" max="302" width="35.1796875" style="1924" bestFit="1" customWidth="1"/>
    <col min="303" max="303" width="15.54296875" style="1924" bestFit="1" customWidth="1"/>
    <col min="304" max="307" width="13.81640625" style="1924" customWidth="1"/>
    <col min="308" max="311" width="8.453125" style="1924" customWidth="1"/>
    <col min="312" max="312" width="8.08984375" style="1924" bestFit="1" customWidth="1"/>
    <col min="313" max="313" width="6.81640625" style="1924" bestFit="1" customWidth="1"/>
    <col min="314" max="314" width="8.453125" style="1924" customWidth="1"/>
    <col min="315" max="315" width="8.81640625" style="1924"/>
    <col min="316" max="317" width="8.81640625" style="1946"/>
    <col min="318" max="318" width="49.81640625" style="1946" bestFit="1" customWidth="1"/>
    <col min="319" max="323" width="8.81640625" style="1946"/>
    <col min="324" max="324" width="8.81640625" style="1924"/>
    <col min="325" max="325" width="9.1796875" style="1924" customWidth="1"/>
    <col min="326" max="326" width="7.1796875" style="1924" bestFit="1" customWidth="1"/>
    <col min="327" max="327" width="11.81640625" style="1924" bestFit="1" customWidth="1"/>
    <col min="328" max="329" width="10.1796875" style="1924" bestFit="1" customWidth="1"/>
    <col min="330" max="330" width="20.08984375" style="1924" customWidth="1"/>
    <col min="331" max="331" width="11" style="1924" customWidth="1"/>
    <col min="332" max="332" width="13.81640625" style="1924" customWidth="1"/>
    <col min="333" max="333" width="11.54296875" style="1924" customWidth="1"/>
    <col min="334" max="334" width="56.08984375" style="1924" bestFit="1" customWidth="1"/>
    <col min="335" max="335" width="8.81640625" style="1924"/>
    <col min="336" max="336" width="59.1796875" style="1924" customWidth="1"/>
    <col min="337" max="337" width="30.81640625" style="1924" customWidth="1"/>
    <col min="338" max="338" width="11.54296875" style="1924" customWidth="1"/>
    <col min="339" max="342" width="16" style="1924" customWidth="1"/>
    <col min="343" max="343" width="3.81640625" style="1924" customWidth="1"/>
    <col min="344" max="344" width="15.81640625" style="1924" customWidth="1"/>
    <col min="345" max="345" width="8.81640625" style="1924"/>
    <col min="346" max="346" width="55.1796875" style="1924" customWidth="1"/>
    <col min="347" max="347" width="15.08984375" style="1924" customWidth="1"/>
    <col min="348" max="348" width="8.81640625" style="1924"/>
    <col min="349" max="352" width="15.81640625" style="1924" customWidth="1"/>
    <col min="353" max="353" width="2.54296875" style="1924" customWidth="1"/>
    <col min="354" max="354" width="15.81640625" style="1924" customWidth="1"/>
    <col min="355" max="356" width="8.81640625" style="1924"/>
    <col min="357" max="357" width="71.08984375" style="1924" customWidth="1"/>
    <col min="358" max="358" width="26.1796875" style="1924" customWidth="1"/>
    <col min="359" max="359" width="11.1796875" style="1924" customWidth="1"/>
    <col min="360" max="360" width="10.81640625" style="1924" customWidth="1"/>
    <col min="361" max="364" width="8.81640625" style="1924"/>
    <col min="365" max="365" width="11.81640625" style="1924" customWidth="1"/>
    <col min="366" max="16384" width="8.81640625" style="1924"/>
  </cols>
  <sheetData>
    <row r="1" spans="1:376" ht="30" customHeight="1">
      <c r="A1" s="1919" t="str">
        <f>Summary!A1</f>
        <v>Public Health Wales Trust</v>
      </c>
      <c r="B1" s="1919"/>
      <c r="C1" s="1920"/>
      <c r="D1" s="1921"/>
      <c r="E1" s="1921"/>
      <c r="F1" s="1921"/>
      <c r="G1" s="1922" t="str">
        <f>Summary!G1</f>
        <v>Period :</v>
      </c>
      <c r="H1" s="1923" t="str">
        <f>Summary!H1</f>
        <v>Jul 23</v>
      </c>
      <c r="I1" s="1921"/>
      <c r="J1" s="1921"/>
      <c r="K1" s="1921"/>
      <c r="M1" s="1919" t="str">
        <f>'A - Movement'!A1</f>
        <v>Public Health Wales Trust</v>
      </c>
      <c r="N1" s="1925"/>
      <c r="O1" s="1925"/>
      <c r="P1" s="1925"/>
      <c r="Q1" s="1925"/>
      <c r="R1" s="1925" t="str">
        <f>'A - Movement'!E1</f>
        <v>Period :</v>
      </c>
      <c r="S1" s="1926" t="str">
        <f>'A - Movement'!F1</f>
        <v>Jul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Jul 23</v>
      </c>
      <c r="AN1" s="1926"/>
      <c r="AO1" s="1927"/>
      <c r="AP1" s="127" t="str">
        <f>'A1 - Underlying Position'!A1</f>
        <v>Public Health Wales Trust</v>
      </c>
      <c r="AQ1" s="150"/>
      <c r="AR1" s="1377"/>
      <c r="AS1" s="1377"/>
      <c r="AT1" s="1378"/>
      <c r="AU1" s="1378"/>
      <c r="AV1" s="1377" t="str">
        <f>'A1 - Underlying Position'!G1</f>
        <v>Period :</v>
      </c>
      <c r="AW1" s="1416" t="str">
        <f>'A1 - Underlying Position'!H1</f>
        <v>Jul 23</v>
      </c>
      <c r="AX1" s="1744"/>
      <c r="AZ1" s="79" t="str">
        <f>'A2 - Risks'!A1</f>
        <v>Public Health Wales Trust</v>
      </c>
      <c r="BA1" s="71"/>
      <c r="BB1" s="70" t="str">
        <f>'A2 - Risks'!C1</f>
        <v xml:space="preserve">Period : </v>
      </c>
      <c r="BC1" s="151" t="str">
        <f>'A2 - Risks'!D1</f>
        <v>Jul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Jul 23</v>
      </c>
      <c r="CL1" s="80"/>
      <c r="CM1" s="80"/>
      <c r="CO1" s="1357" t="str">
        <f>'B2 - Pay &amp; Agency'!A1</f>
        <v>Public Health Wales Trust</v>
      </c>
      <c r="CP1" s="373"/>
      <c r="CQ1" s="80"/>
      <c r="CR1" s="373" t="str">
        <f>'B2 - Pay &amp; Agency'!D1</f>
        <v xml:space="preserve">Period :  </v>
      </c>
      <c r="CS1" s="1303" t="str">
        <f>'B2 - Pay &amp; Agency'!E1</f>
        <v>Jul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Jul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Jul 23</v>
      </c>
      <c r="HL1" s="71"/>
      <c r="HM1" s="71"/>
      <c r="HO1" s="1919" t="str">
        <f>'F - SoFP'!A1</f>
        <v>Public Health Wales Trust</v>
      </c>
      <c r="HP1" s="1744"/>
      <c r="HQ1" s="1935" t="str">
        <f>'F - SoFP'!C1</f>
        <v>Period :</v>
      </c>
      <c r="HR1" s="1936" t="str">
        <f>'F - SoFP'!D1</f>
        <v>Jul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Jul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Jul 23</v>
      </c>
      <c r="JB1" s="1744"/>
      <c r="JD1" s="1919" t="str">
        <f>'I - Capital RLM'!A1</f>
        <v>Public Health Wales Trust</v>
      </c>
      <c r="JE1" s="1744"/>
      <c r="JF1" s="1744"/>
      <c r="JG1" s="1744"/>
      <c r="JH1" s="1744"/>
      <c r="JI1" s="1942"/>
      <c r="JJ1" s="1744"/>
      <c r="JK1" s="1939" t="str">
        <f>'I - Capital RLM'!H1</f>
        <v xml:space="preserve">Period : </v>
      </c>
      <c r="JL1" s="1923" t="str">
        <f>'I - Capital RLM'!I1</f>
        <v>Jul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Jul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Jul 23</v>
      </c>
      <c r="LB1" s="1744"/>
      <c r="LC1" s="1945"/>
      <c r="LE1" s="1357" t="str">
        <f>'L - EFL'!A1</f>
        <v>Public Health Wales Trust</v>
      </c>
      <c r="LF1" s="1641"/>
      <c r="LG1" s="71"/>
      <c r="LH1" s="150" t="str">
        <f>'L - EFL'!D1</f>
        <v xml:space="preserve">Period :  </v>
      </c>
      <c r="LI1" s="1640" t="str">
        <f>'L - EFL'!E1</f>
        <v>Jul 23</v>
      </c>
      <c r="LJ1" s="71"/>
      <c r="LL1" s="1747"/>
      <c r="LM1" s="810" t="str">
        <f>'M - Aged Debtors'!B1</f>
        <v>Public Health Wales Trust</v>
      </c>
      <c r="LN1" s="881"/>
      <c r="LO1" s="882"/>
      <c r="LP1" s="882"/>
      <c r="LQ1" s="1159"/>
      <c r="LR1" s="1748"/>
      <c r="LS1" s="814"/>
      <c r="LT1" s="1145" t="s">
        <v>461</v>
      </c>
      <c r="LU1" s="988" t="str">
        <f>'M - Aged Debtors'!J1</f>
        <v>Jul 23</v>
      </c>
      <c r="LV1" s="1747"/>
      <c r="LX1" s="421" t="str">
        <f>'N - GMS'!A1</f>
        <v>Public Health Wales Trust</v>
      </c>
      <c r="LY1" s="69"/>
      <c r="LZ1" s="422"/>
      <c r="MA1" s="423" t="str">
        <f>'N - GMS'!D1</f>
        <v>Period :</v>
      </c>
      <c r="MB1" s="423" t="str">
        <f>'N - GMS'!E1</f>
        <v>Jul 23</v>
      </c>
      <c r="MC1" s="423"/>
      <c r="MD1" s="423"/>
      <c r="ME1" s="423"/>
      <c r="MF1" s="423"/>
      <c r="MH1" s="421" t="str">
        <f>'O - Dental'!A1</f>
        <v>Public Health Wales Trust</v>
      </c>
      <c r="MI1" s="80"/>
      <c r="MJ1" s="684"/>
      <c r="MK1" s="685"/>
      <c r="ML1" s="685"/>
      <c r="MM1" s="423" t="str">
        <f>'O - Dental'!F1</f>
        <v>Period :</v>
      </c>
      <c r="MN1" s="423" t="str">
        <f>'O - Dental'!G1</f>
        <v>Jul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Jul 23</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Jul 23 =</v>
      </c>
      <c r="LT2" s="1162">
        <f>'M - Aged Debtors'!I2</f>
        <v>45061</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Jul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Jul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Jul 23</v>
      </c>
      <c r="FS3" s="1931"/>
      <c r="FU3" s="1939"/>
      <c r="FV3" s="1939"/>
      <c r="FW3" s="1744"/>
      <c r="FX3" s="1744"/>
      <c r="FY3" s="1744"/>
      <c r="FZ3" s="1744"/>
      <c r="GA3" s="1744"/>
      <c r="GB3" s="1925" t="str">
        <f>'D - Welsh NHS Assumptions'!H3</f>
        <v>Period :</v>
      </c>
      <c r="GC3" s="1940" t="str">
        <f>'D - Welsh NHS Assumptions'!I3</f>
        <v>Jul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Jul 23 =</v>
      </c>
      <c r="LT3" s="1164">
        <f>'M - Aged Debtors'!I3</f>
        <v>45019</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4</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0</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Betsi Cadwaladr ULHB</v>
      </c>
      <c r="LN6" s="1761" t="str">
        <f>'M - Aged Debtors'!C6</f>
        <v>50054693</v>
      </c>
      <c r="LO6" s="1762">
        <f>'M - Aged Debtors'!D6</f>
        <v>45042</v>
      </c>
      <c r="LP6" s="1763">
        <f>'M - Aged Debtors'!E6</f>
        <v>400</v>
      </c>
      <c r="LQ6" s="1971">
        <f>'M - Aged Debtors'!F6</f>
        <v>400</v>
      </c>
      <c r="LR6" s="1165" t="str">
        <f>'M - Aged Debtors'!G6</f>
        <v>Yes, valid entry for period</v>
      </c>
      <c r="LS6" s="826">
        <f>'M - Aged Debtors'!H6</f>
        <v>400</v>
      </c>
      <c r="LT6" s="826" t="str">
        <f>'M - Aged Debtors'!I6</f>
        <v/>
      </c>
      <c r="LU6" s="827">
        <f>'M - Aged Debtors'!J6</f>
        <v>45161</v>
      </c>
      <c r="LV6" s="1756" t="str">
        <f>'M - Aged Debtors'!K6</f>
        <v>Pre-arbitration letter issued 02-08-2023</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Jul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1809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Betsi Cadwaladr ULHB</v>
      </c>
      <c r="LN7" s="1761" t="str">
        <f>'M - Aged Debtors'!C7</f>
        <v>50054694</v>
      </c>
      <c r="LO7" s="1762">
        <f>'M - Aged Debtors'!D7</f>
        <v>45042</v>
      </c>
      <c r="LP7" s="1763">
        <f>'M - Aged Debtors'!E7</f>
        <v>400</v>
      </c>
      <c r="LQ7" s="1971">
        <f>'M - Aged Debtors'!F7</f>
        <v>400</v>
      </c>
      <c r="LR7" s="1165" t="str">
        <f>'M - Aged Debtors'!G7</f>
        <v>Yes, valid entry for period</v>
      </c>
      <c r="LS7" s="828">
        <f>'M - Aged Debtors'!H7</f>
        <v>400</v>
      </c>
      <c r="LT7" s="828" t="str">
        <f>'M - Aged Debtors'!I7</f>
        <v/>
      </c>
      <c r="LU7" s="829">
        <f>'M - Aged Debtors'!J7</f>
        <v>45161</v>
      </c>
      <c r="LV7" s="1756" t="str">
        <f>'M - Aged Debtors'!K7</f>
        <v>Pre-arbitration letter issued 02-08-2023</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1770.6666666666667</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v>
      </c>
      <c r="IS8" s="958">
        <f>'H - PSPP'!G8</f>
        <v>-0.95</v>
      </c>
      <c r="IT8" s="1759">
        <f>'H - PSPP'!H8</f>
        <v>0</v>
      </c>
      <c r="IU8" s="958">
        <f>'H - PSPP'!I8</f>
        <v>-0.95</v>
      </c>
      <c r="IV8" s="1759">
        <f>'H - PSPP'!J8</f>
        <v>0</v>
      </c>
      <c r="IW8" s="958">
        <f>'H - PSPP'!K8</f>
        <v>-0.95</v>
      </c>
      <c r="IX8" s="1759">
        <f>'H - PSPP'!L8</f>
        <v>0.99770000000000003</v>
      </c>
      <c r="IY8" s="958">
        <f>'H - PSPP'!M8</f>
        <v>4.7700000000000076E-2</v>
      </c>
      <c r="IZ8" s="1759">
        <f>'H - PSPP'!N8</f>
        <v>0.95</v>
      </c>
      <c r="JA8" s="958">
        <f>'H - PSPP'!O8</f>
        <v>0</v>
      </c>
      <c r="JB8" s="1744"/>
      <c r="JD8" s="1744"/>
      <c r="JE8" s="1925" t="str">
        <f>'I - Capital RLM'!B8</f>
        <v xml:space="preserve">Approved CRL / CEL issued at : </v>
      </c>
      <c r="JF8" s="1992">
        <f>'I - Capital RLM'!C8</f>
        <v>45071</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Betsi Cadwaladr ULHB</v>
      </c>
      <c r="LN8" s="1761" t="str">
        <f>'M - Aged Debtors'!C8</f>
        <v>50054695</v>
      </c>
      <c r="LO8" s="1762">
        <f>'M - Aged Debtors'!D8</f>
        <v>45042</v>
      </c>
      <c r="LP8" s="1763">
        <f>'M - Aged Debtors'!E8</f>
        <v>400</v>
      </c>
      <c r="LQ8" s="1971">
        <f>'M - Aged Debtors'!F8</f>
        <v>400</v>
      </c>
      <c r="LR8" s="1165" t="str">
        <f>'M - Aged Debtors'!G8</f>
        <v>Yes, valid entry for period</v>
      </c>
      <c r="LS8" s="828">
        <f>'M - Aged Debtors'!H8</f>
        <v>400</v>
      </c>
      <c r="LT8" s="828" t="str">
        <f>'M - Aged Debtors'!I8</f>
        <v/>
      </c>
      <c r="LU8" s="829">
        <f>'M - Aged Debtors'!J8</f>
        <v>45161</v>
      </c>
      <c r="LV8" s="1756" t="str">
        <f>'M - Aged Debtors'!K8</f>
        <v>Pre-arbitration letter issued 02-08-2023</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0</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1770.6666666666667</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33794</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v>
      </c>
      <c r="IS9" s="958">
        <f>'H - PSPP'!G9</f>
        <v>-0.95</v>
      </c>
      <c r="IT9" s="1759">
        <f>'H - PSPP'!H9</f>
        <v>0</v>
      </c>
      <c r="IU9" s="958">
        <f>'H - PSPP'!I9</f>
        <v>-0.95</v>
      </c>
      <c r="IV9" s="1759">
        <f>'H - PSPP'!J9</f>
        <v>0</v>
      </c>
      <c r="IW9" s="958">
        <f>'H - PSPP'!K9</f>
        <v>-0.95</v>
      </c>
      <c r="IX9" s="1759">
        <f>'H - PSPP'!L9</f>
        <v>0.98819999999999997</v>
      </c>
      <c r="IY9" s="958">
        <f>'H - PSPP'!M9</f>
        <v>3.8200000000000012E-2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t="str">
        <f>'M - Aged Debtors'!B9</f>
        <v>Betsi Cadwaladr ULHB</v>
      </c>
      <c r="LN9" s="1761" t="str">
        <f>'M - Aged Debtors'!C9</f>
        <v>50054696</v>
      </c>
      <c r="LO9" s="1762">
        <f>'M - Aged Debtors'!D9</f>
        <v>45042</v>
      </c>
      <c r="LP9" s="1763">
        <f>'M - Aged Debtors'!E9</f>
        <v>400</v>
      </c>
      <c r="LQ9" s="1971">
        <f>'M - Aged Debtors'!F9</f>
        <v>400</v>
      </c>
      <c r="LR9" s="1165" t="str">
        <f>'M - Aged Debtors'!G9</f>
        <v>Yes, valid entry for period</v>
      </c>
      <c r="LS9" s="828">
        <f>'M - Aged Debtors'!H9</f>
        <v>400</v>
      </c>
      <c r="LT9" s="828" t="str">
        <f>'M - Aged Debtors'!I9</f>
        <v/>
      </c>
      <c r="LU9" s="829">
        <f>'M - Aged Debtors'!J9</f>
        <v>45161</v>
      </c>
      <c r="LV9" s="1756" t="str">
        <f>'M - Aged Debtors'!K9</f>
        <v>Pre-arbitration letter issued 02-08-2023</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6066.9131666666663</v>
      </c>
      <c r="CV10" s="1768">
        <f>'B2 - Pay &amp; Agency'!H10</f>
        <v>6131.3547349999999</v>
      </c>
      <c r="CW10" s="1768">
        <f>'B2 - Pay &amp; Agency'!I10</f>
        <v>6235.1976350000004</v>
      </c>
      <c r="CX10" s="1768">
        <f>'B2 - Pay &amp; Agency'!J10</f>
        <v>6245.1976350000004</v>
      </c>
      <c r="CY10" s="1768">
        <f>'B2 - Pay &amp; Agency'!K10</f>
        <v>6250.1976350000004</v>
      </c>
      <c r="CZ10" s="1768">
        <f>'B2 - Pay &amp; Agency'!L10</f>
        <v>6241.1976350000004</v>
      </c>
      <c r="DA10" s="1768">
        <f>'B2 - Pay &amp; Agency'!M10</f>
        <v>6236.3547349999999</v>
      </c>
      <c r="DB10" s="1769">
        <f>'B2 - Pay &amp; Agency'!N10</f>
        <v>6548.4944999999998</v>
      </c>
      <c r="DC10" s="1131">
        <f>'B2 - Pay &amp; Agency'!O10</f>
        <v>26553</v>
      </c>
      <c r="DD10" s="1322">
        <f>'B2 - Pay &amp; Agency'!P10</f>
        <v>76507.907676666684</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67.111583333333314</v>
      </c>
      <c r="DM10" s="1902">
        <f>'B3 - COVID-19'!H10</f>
        <v>86.553151666666679</v>
      </c>
      <c r="DN10" s="1902">
        <f>'B3 - COVID-19'!I10</f>
        <v>89.396051666666665</v>
      </c>
      <c r="DO10" s="1902">
        <f>'B3 - COVID-19'!J10</f>
        <v>89.396051666666665</v>
      </c>
      <c r="DP10" s="1902">
        <f>'B3 - COVID-19'!K10</f>
        <v>89.396051666666665</v>
      </c>
      <c r="DQ10" s="1902">
        <f>'B3 - COVID-19'!L10</f>
        <v>89.396051666666665</v>
      </c>
      <c r="DR10" s="1902">
        <f>'B3 - COVID-19'!M10</f>
        <v>86.553151666666679</v>
      </c>
      <c r="DS10" s="1902">
        <f>'B3 - COVID-19'!N10</f>
        <v>84.692916666666676</v>
      </c>
      <c r="DT10" s="1862">
        <f>'B3 - COVID-19'!O10</f>
        <v>100.9875</v>
      </c>
      <c r="DU10" s="1862">
        <f>'B3 - COVID-19'!P10</f>
        <v>783.48251000000005</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4180</v>
      </c>
      <c r="HH10" s="1770">
        <f>'E1 - Invoiced Income'!O10</f>
        <v>2075</v>
      </c>
      <c r="HI10" s="1770">
        <f>'E1 - Invoiced Income'!P10</f>
        <v>193927.52691353331</v>
      </c>
      <c r="HJ10" s="1770">
        <f>'E1 - Invoiced Income'!R10</f>
        <v>190</v>
      </c>
      <c r="HK10" s="1770">
        <f>'E1 - Invoiced Income'!S10</f>
        <v>0</v>
      </c>
      <c r="HL10" s="1658">
        <f>'E1 - Invoiced Income'!T10</f>
        <v>226502.52691353331</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v>
      </c>
      <c r="IS10" s="958">
        <f>'H - PSPP'!G10</f>
        <v>-0.95</v>
      </c>
      <c r="IT10" s="1759">
        <f>'H - PSPP'!H10</f>
        <v>0</v>
      </c>
      <c r="IU10" s="958">
        <f>'H - PSPP'!I10</f>
        <v>-0.95</v>
      </c>
      <c r="IV10" s="1759">
        <f>'H - PSPP'!J10</f>
        <v>0</v>
      </c>
      <c r="IW10" s="958">
        <f>'H - PSPP'!K10</f>
        <v>-0.95</v>
      </c>
      <c r="IX10" s="1759">
        <f>'H - PSPP'!L10</f>
        <v>0.94730000000000003</v>
      </c>
      <c r="IY10" s="958">
        <f>'H - PSPP'!M10</f>
        <v>-2.6999999999999247E-3</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t="str">
        <f>'M - Aged Debtors'!B10</f>
        <v>Betsi Cadwaladr ULHB</v>
      </c>
      <c r="LN10" s="1761" t="str">
        <f>'M - Aged Debtors'!C10</f>
        <v>50054697</v>
      </c>
      <c r="LO10" s="1762">
        <f>'M - Aged Debtors'!D10</f>
        <v>45042</v>
      </c>
      <c r="LP10" s="1763">
        <f>'M - Aged Debtors'!E10</f>
        <v>400</v>
      </c>
      <c r="LQ10" s="1971">
        <f>'M - Aged Debtors'!F10</f>
        <v>400</v>
      </c>
      <c r="LR10" s="1165" t="str">
        <f>'M - Aged Debtors'!G10</f>
        <v>Yes, valid entry for period</v>
      </c>
      <c r="LS10" s="828">
        <f>'M - Aged Debtors'!H10</f>
        <v>400</v>
      </c>
      <c r="LT10" s="828" t="str">
        <f>'M - Aged Debtors'!I10</f>
        <v/>
      </c>
      <c r="LU10" s="829">
        <f>'M - Aged Debtors'!J10</f>
        <v>45161</v>
      </c>
      <c r="LV10" s="1756" t="str">
        <f>'M - Aged Debtors'!K10</f>
        <v>Pre-arbitration letter issued 02-08-2023</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157</v>
      </c>
      <c r="D11" s="2036">
        <f>Summary!D11</f>
        <v>4.0000015815166989E-5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1400</v>
      </c>
      <c r="CV11" s="1776">
        <f>'B2 - Pay &amp; Agency'!H11</f>
        <v>1400</v>
      </c>
      <c r="CW11" s="1776">
        <f>'B2 - Pay &amp; Agency'!I11</f>
        <v>1397</v>
      </c>
      <c r="CX11" s="1776">
        <f>'B2 - Pay &amp; Agency'!J11</f>
        <v>1397</v>
      </c>
      <c r="CY11" s="1776">
        <f>'B2 - Pay &amp; Agency'!K11</f>
        <v>1397</v>
      </c>
      <c r="CZ11" s="1776">
        <f>'B2 - Pay &amp; Agency'!L11</f>
        <v>1397</v>
      </c>
      <c r="DA11" s="1776">
        <f>'B2 - Pay &amp; Agency'!M11</f>
        <v>1397</v>
      </c>
      <c r="DB11" s="1777">
        <f>'B2 - Pay &amp; Agency'!N11</f>
        <v>1420</v>
      </c>
      <c r="DC11" s="1323">
        <f>'B2 - Pay &amp; Agency'!O11</f>
        <v>5139</v>
      </c>
      <c r="DD11" s="1324">
        <f>'B2 - Pay &amp; Agency'!P11</f>
        <v>16344</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v>
      </c>
      <c r="IS11" s="958">
        <f>'H - PSPP'!G11</f>
        <v>-0.95</v>
      </c>
      <c r="IT11" s="1759">
        <f>'H - PSPP'!H11</f>
        <v>0</v>
      </c>
      <c r="IU11" s="958">
        <f>'H - PSPP'!I11</f>
        <v>-0.95</v>
      </c>
      <c r="IV11" s="1759">
        <f>'H - PSPP'!J11</f>
        <v>0</v>
      </c>
      <c r="IW11" s="958">
        <f>'H - PSPP'!K11</f>
        <v>-0.95</v>
      </c>
      <c r="IX11" s="1759">
        <f>'H - PSPP'!L11</f>
        <v>0.96909999999999996</v>
      </c>
      <c r="IY11" s="958">
        <f>'H - PSPP'!M11</f>
        <v>1.9100000000000006E-2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4.0000015815166989E-5</v>
      </c>
      <c r="LI11" s="1612">
        <f>'L - EFL'!E11</f>
        <v>4.0000015815166989E-5</v>
      </c>
      <c r="LJ11" s="1778">
        <f>'L - EFL'!F11</f>
        <v>157</v>
      </c>
      <c r="LL11" s="813"/>
      <c r="LM11" s="1760" t="str">
        <f>'M - Aged Debtors'!B11</f>
        <v>Betsi Cadwaladr ULHB</v>
      </c>
      <c r="LN11" s="1761" t="str">
        <f>'M - Aged Debtors'!C11</f>
        <v>50054698</v>
      </c>
      <c r="LO11" s="1762">
        <f>'M - Aged Debtors'!D11</f>
        <v>45042</v>
      </c>
      <c r="LP11" s="1763">
        <f>'M - Aged Debtors'!E11</f>
        <v>400</v>
      </c>
      <c r="LQ11" s="1971">
        <f>'M - Aged Debtors'!F11</f>
        <v>400</v>
      </c>
      <c r="LR11" s="1165" t="str">
        <f>'M - Aged Debtors'!G11</f>
        <v>Yes, valid entry for period</v>
      </c>
      <c r="LS11" s="828">
        <f>'M - Aged Debtors'!H11</f>
        <v>400</v>
      </c>
      <c r="LT11" s="828" t="str">
        <f>'M - Aged Debtors'!I11</f>
        <v/>
      </c>
      <c r="LU11" s="829">
        <f>'M - Aged Debtors'!J11</f>
        <v>45161</v>
      </c>
      <c r="LV11" s="1756" t="str">
        <f>'M - Aged Debtors'!K11</f>
        <v>Pre-arbitration letter issued 02-08-2023</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-11205.333333333334</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452</v>
      </c>
      <c r="CV12" s="1776">
        <f>'B2 - Pay &amp; Agency'!H12</f>
        <v>452</v>
      </c>
      <c r="CW12" s="1776">
        <f>'B2 - Pay &amp; Agency'!I12</f>
        <v>452</v>
      </c>
      <c r="CX12" s="1776">
        <f>'B2 - Pay &amp; Agency'!J12</f>
        <v>452</v>
      </c>
      <c r="CY12" s="1776">
        <f>'B2 - Pay &amp; Agency'!K12</f>
        <v>452</v>
      </c>
      <c r="CZ12" s="1776">
        <f>'B2 - Pay &amp; Agency'!L12</f>
        <v>452</v>
      </c>
      <c r="DA12" s="1776">
        <f>'B2 - Pay &amp; Agency'!M12</f>
        <v>452</v>
      </c>
      <c r="DB12" s="1777">
        <f>'B2 - Pay &amp; Agency'!N12</f>
        <v>461</v>
      </c>
      <c r="DC12" s="1323">
        <f>'B2 - Pay &amp; Agency'!O12</f>
        <v>2130</v>
      </c>
      <c r="DD12" s="1324">
        <f>'B2 - Pay &amp; Agency'!P12</f>
        <v>5755</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6420</v>
      </c>
      <c r="LI12" s="1612">
        <f>'L - EFL'!E12</f>
        <v>197</v>
      </c>
      <c r="LJ12" s="1778">
        <f>'L - EFL'!F12</f>
        <v>2140</v>
      </c>
      <c r="LL12" s="813"/>
      <c r="LM12" s="1760" t="str">
        <f>'M - Aged Debtors'!B12</f>
        <v>Betsi Cadwaladr ULHB</v>
      </c>
      <c r="LN12" s="1761" t="str">
        <f>'M - Aged Debtors'!C12</f>
        <v>50054699</v>
      </c>
      <c r="LO12" s="1762">
        <f>'M - Aged Debtors'!D12</f>
        <v>45042</v>
      </c>
      <c r="LP12" s="1763">
        <f>'M - Aged Debtors'!E12</f>
        <v>400</v>
      </c>
      <c r="LQ12" s="1971">
        <f>'M - Aged Debtors'!F12</f>
        <v>400</v>
      </c>
      <c r="LR12" s="1165" t="str">
        <f>'M - Aged Debtors'!G12</f>
        <v>Yes, valid entry for period</v>
      </c>
      <c r="LS12" s="828">
        <f>'M - Aged Debtors'!H12</f>
        <v>400</v>
      </c>
      <c r="LT12" s="828" t="str">
        <f>'M - Aged Debtors'!I12</f>
        <v/>
      </c>
      <c r="LU12" s="829">
        <f>'M - Aged Debtors'!J12</f>
        <v>45161</v>
      </c>
      <c r="LV12" s="1756" t="str">
        <f>'M - Aged Debtors'!K12</f>
        <v>Pre-arbitration letter issued 02-08-2023</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-4746.9116764278751</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1958</v>
      </c>
      <c r="BM13" s="1782">
        <f>'B - Monthly Positions'!I13</f>
        <v>1958</v>
      </c>
      <c r="BN13" s="1782">
        <f>'B - Monthly Positions'!J13</f>
        <v>1951</v>
      </c>
      <c r="BO13" s="1782">
        <f>'B - Monthly Positions'!K13</f>
        <v>1945</v>
      </c>
      <c r="BP13" s="1782">
        <f>'B - Monthly Positions'!L13</f>
        <v>1945</v>
      </c>
      <c r="BQ13" s="1782">
        <f>'B - Monthly Positions'!M13</f>
        <v>1945</v>
      </c>
      <c r="BR13" s="1782">
        <f>'B - Monthly Positions'!N13</f>
        <v>1945</v>
      </c>
      <c r="BS13" s="1785">
        <f>'B - Monthly Positions'!O13</f>
        <v>1945</v>
      </c>
      <c r="BT13" s="1781">
        <f>'B - Monthly Positions'!P13</f>
        <v>8307</v>
      </c>
      <c r="BU13" s="1781">
        <f>'B - Monthly Positions'!Q13</f>
        <v>23899</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0</v>
      </c>
      <c r="HJ13" s="1770">
        <f>'E1 - Invoiced Income'!R13</f>
        <v>0</v>
      </c>
      <c r="HK13" s="1770">
        <f>'E1 - Invoiced Income'!S13</f>
        <v>0</v>
      </c>
      <c r="HL13" s="1661">
        <f>'E1 - Invoiced Income'!T13</f>
        <v>0</v>
      </c>
      <c r="HM13" s="1791">
        <f>'E1 - Invoiced Income'!U13</f>
        <v>0</v>
      </c>
      <c r="HO13" s="2083">
        <f>'F - SoFP'!A13</f>
        <v>5</v>
      </c>
      <c r="HP13" s="2084" t="str">
        <f>'F - SoFP'!B13</f>
        <v xml:space="preserve">Non-Current Assets sub total </v>
      </c>
      <c r="HQ13" s="2036">
        <f>'F - SoFP'!C13</f>
        <v>37978</v>
      </c>
      <c r="HR13" s="2036">
        <f>'F - SoFP'!D13</f>
        <v>34663</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18035.028999999999</v>
      </c>
      <c r="IC13" s="2053">
        <f>'G - Cash Flow'!H13</f>
        <v>18035.028999999999</v>
      </c>
      <c r="ID13" s="2053">
        <f>'G - Cash Flow'!I13</f>
        <v>18035.028999999999</v>
      </c>
      <c r="IE13" s="2053">
        <f>'G - Cash Flow'!J13</f>
        <v>18035.028999999999</v>
      </c>
      <c r="IF13" s="2053">
        <f>'G - Cash Flow'!K13</f>
        <v>18035.028999999999</v>
      </c>
      <c r="IG13" s="2053">
        <f>'G - Cash Flow'!L13</f>
        <v>18035.028999999999</v>
      </c>
      <c r="IH13" s="2053">
        <f>'G - Cash Flow'!M13</f>
        <v>18035.028999999999</v>
      </c>
      <c r="II13" s="2053">
        <f>'G - Cash Flow'!N13</f>
        <v>18035.028999999999</v>
      </c>
      <c r="IJ13" s="2054">
        <f>'G - Cash Flow'!O13</f>
        <v>209651.91517000002</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5</v>
      </c>
      <c r="KB13" s="2009">
        <f>'J - Capital In Year Schemes'!L13</f>
        <v>5</v>
      </c>
      <c r="KC13" s="2009">
        <f>'J - Capital In Year Schemes'!M13</f>
        <v>5</v>
      </c>
      <c r="KD13" s="2009">
        <f>'J - Capital In Year Schemes'!N13</f>
        <v>5</v>
      </c>
      <c r="KE13" s="2009">
        <f>'J - Capital In Year Schemes'!O13</f>
        <v>5</v>
      </c>
      <c r="KF13" s="2009">
        <f>'J - Capital In Year Schemes'!P13</f>
        <v>6</v>
      </c>
      <c r="KG13" s="2009">
        <f>'J - Capital In Year Schemes'!Q13</f>
        <v>0</v>
      </c>
      <c r="KH13" s="2089">
        <f>'J - Capital In Year Schemes'!R13</f>
        <v>15.667100000000001</v>
      </c>
      <c r="KI13" s="2089">
        <f>'J - Capital In Year Schemes'!S13</f>
        <v>49.642099999999999</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122</v>
      </c>
      <c r="LI13" s="1612">
        <f>'L - EFL'!E13</f>
        <v>122</v>
      </c>
      <c r="LJ13" s="1778">
        <f>'L - EFL'!F13</f>
        <v>40.64</v>
      </c>
      <c r="LL13" s="813"/>
      <c r="LM13" s="1760" t="str">
        <f>'M - Aged Debtors'!B13</f>
        <v>Betsi Cadwaladr ULHB</v>
      </c>
      <c r="LN13" s="1761" t="str">
        <f>'M - Aged Debtors'!C13</f>
        <v>50054700</v>
      </c>
      <c r="LO13" s="1762">
        <f>'M - Aged Debtors'!D13</f>
        <v>45042</v>
      </c>
      <c r="LP13" s="1763">
        <f>'M - Aged Debtors'!E13</f>
        <v>400</v>
      </c>
      <c r="LQ13" s="1971">
        <f>'M - Aged Debtors'!F13</f>
        <v>400</v>
      </c>
      <c r="LR13" s="1165" t="str">
        <f>'M - Aged Debtors'!G13</f>
        <v>Yes, valid entry for period</v>
      </c>
      <c r="LS13" s="828">
        <f>'M - Aged Debtors'!H13</f>
        <v>400</v>
      </c>
      <c r="LT13" s="828" t="str">
        <f>'M - Aged Debtors'!I13</f>
        <v/>
      </c>
      <c r="LU13" s="829">
        <f>'M - Aged Debtors'!J13</f>
        <v>45161</v>
      </c>
      <c r="LV13" s="1756" t="str">
        <f>'M - Aged Debtors'!K13</f>
        <v>Pre-arbitration letter issued 02-08-2023</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9434.6666666666679</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18</v>
      </c>
      <c r="BM14" s="1782">
        <f>'B - Monthly Positions'!I14</f>
        <v>18</v>
      </c>
      <c r="BN14" s="1782">
        <f>'B - Monthly Positions'!J14</f>
        <v>18</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77</v>
      </c>
      <c r="BU14" s="1781">
        <f>'B - Monthly Positions'!Q14</f>
        <v>221</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299.62175000000002</v>
      </c>
      <c r="CV14" s="1776">
        <f>'B2 - Pay &amp; Agency'!H14</f>
        <v>299.62175000000002</v>
      </c>
      <c r="CW14" s="1776">
        <f>'B2 - Pay &amp; Agency'!I14</f>
        <v>300.62175000000002</v>
      </c>
      <c r="CX14" s="1776">
        <f>'B2 - Pay &amp; Agency'!J14</f>
        <v>300.62175000000002</v>
      </c>
      <c r="CY14" s="1776">
        <f>'B2 - Pay &amp; Agency'!K14</f>
        <v>300.62175000000002</v>
      </c>
      <c r="CZ14" s="1776">
        <f>'B2 - Pay &amp; Agency'!L14</f>
        <v>300.62175000000002</v>
      </c>
      <c r="DA14" s="1776">
        <f>'B2 - Pay &amp; Agency'!M14</f>
        <v>300.62175000000002</v>
      </c>
      <c r="DB14" s="1777">
        <f>'B2 - Pay &amp; Agency'!N14</f>
        <v>300.62175000000002</v>
      </c>
      <c r="DC14" s="1323">
        <f>'B2 - Pay &amp; Agency'!O14</f>
        <v>1384</v>
      </c>
      <c r="DD14" s="1324">
        <f>'B2 - Pay &amp; Agency'!P14</f>
        <v>3786.9740000000011</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2.62175</v>
      </c>
      <c r="DM14" s="1902">
        <f>'B3 - COVID-19'!H14</f>
        <v>2.62175</v>
      </c>
      <c r="DN14" s="1902">
        <f>'B3 - COVID-19'!I14</f>
        <v>2.62175</v>
      </c>
      <c r="DO14" s="1902">
        <f>'B3 - COVID-19'!J14</f>
        <v>2.62175</v>
      </c>
      <c r="DP14" s="1902">
        <f>'B3 - COVID-19'!K14</f>
        <v>2.62175</v>
      </c>
      <c r="DQ14" s="1902">
        <f>'B3 - COVID-19'!L14</f>
        <v>2.62175</v>
      </c>
      <c r="DR14" s="1902">
        <f>'B3 - COVID-19'!M14</f>
        <v>2.62175</v>
      </c>
      <c r="DS14" s="1902">
        <f>'B3 - COVID-19'!N14</f>
        <v>2.62175</v>
      </c>
      <c r="DT14" s="1862">
        <f>'B3 - COVID-19'!O14</f>
        <v>12.018460000000001</v>
      </c>
      <c r="DU14" s="1862">
        <f>'B3 - COVID-19'!P14</f>
        <v>32.992459999999994</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1770.6666666666667</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0</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31</v>
      </c>
      <c r="KH14" s="2089">
        <f>'J - Capital In Year Schemes'!R14</f>
        <v>0</v>
      </c>
      <c r="KI14" s="2089">
        <f>'J - Capital In Year Schemes'!S14</f>
        <v>186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t="str">
        <f>'M - Aged Debtors'!B14</f>
        <v>Betsi Cadwaladr ULHB</v>
      </c>
      <c r="LN14" s="1761" t="str">
        <f>'M - Aged Debtors'!C14</f>
        <v>50054701</v>
      </c>
      <c r="LO14" s="1762">
        <f>'M - Aged Debtors'!D14</f>
        <v>45042</v>
      </c>
      <c r="LP14" s="1763">
        <f>'M - Aged Debtors'!E14</f>
        <v>400</v>
      </c>
      <c r="LQ14" s="1971">
        <f>'M - Aged Debtors'!F14</f>
        <v>400</v>
      </c>
      <c r="LR14" s="1165" t="str">
        <f>'M - Aged Debtors'!G14</f>
        <v>Yes, valid entry for period</v>
      </c>
      <c r="LS14" s="828">
        <f>'M - Aged Debtors'!H14</f>
        <v>400</v>
      </c>
      <c r="LT14" s="828" t="str">
        <f>'M - Aged Debtors'!I14</f>
        <v/>
      </c>
      <c r="LU14" s="829">
        <f>'M - Aged Debtors'!J14</f>
        <v>45161</v>
      </c>
      <c r="LV14" s="1756" t="str">
        <f>'M - Aged Debtors'!K14</f>
        <v>Pre-arbitration letter issued 02-08-2023</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4746.9114864278745</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16919.13026876175</v>
      </c>
      <c r="BM15" s="1782">
        <f>'B - Monthly Positions'!I15</f>
        <v>17090.865593371585</v>
      </c>
      <c r="BN15" s="1782">
        <f>'B - Monthly Positions'!J15</f>
        <v>17692.233070619674</v>
      </c>
      <c r="BO15" s="1782">
        <f>'B - Monthly Positions'!K15</f>
        <v>17424.474604846997</v>
      </c>
      <c r="BP15" s="1782">
        <f>'B - Monthly Positions'!L15</f>
        <v>17804.470570619673</v>
      </c>
      <c r="BQ15" s="1782">
        <f>'B - Monthly Positions'!M15</f>
        <v>17495.740070619671</v>
      </c>
      <c r="BR15" s="1782">
        <f>'B - Monthly Positions'!N15</f>
        <v>17472.085239074317</v>
      </c>
      <c r="BS15" s="1785">
        <f>'B - Monthly Positions'!O15</f>
        <v>21903.446495619672</v>
      </c>
      <c r="BT15" s="1781">
        <f>'B - Monthly Positions'!P15</f>
        <v>65849</v>
      </c>
      <c r="BU15" s="1781">
        <f>'B - Monthly Positions'!Q15</f>
        <v>209651.4459135333</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1125</v>
      </c>
      <c r="CV15" s="1776">
        <f>'B2 - Pay &amp; Agency'!H15</f>
        <v>1126</v>
      </c>
      <c r="CW15" s="1776">
        <f>'B2 - Pay &amp; Agency'!I15</f>
        <v>1127</v>
      </c>
      <c r="CX15" s="1776">
        <f>'B2 - Pay &amp; Agency'!J15</f>
        <v>1127</v>
      </c>
      <c r="CY15" s="1776">
        <f>'B2 - Pay &amp; Agency'!K15</f>
        <v>1127</v>
      </c>
      <c r="CZ15" s="1776">
        <f>'B2 - Pay &amp; Agency'!L15</f>
        <v>1131</v>
      </c>
      <c r="DA15" s="1776">
        <f>'B2 - Pay &amp; Agency'!M15</f>
        <v>1128</v>
      </c>
      <c r="DB15" s="1777">
        <f>'B2 - Pay &amp; Agency'!N15</f>
        <v>1128</v>
      </c>
      <c r="DC15" s="1323">
        <f>'B2 - Pay &amp; Agency'!O15</f>
        <v>4431</v>
      </c>
      <c r="DD15" s="1324">
        <f>'B2 - Pay &amp; Agency'!P15</f>
        <v>13450</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1770.6666666666667</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1872</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1940.2860000000001</v>
      </c>
      <c r="IC15" s="2053">
        <f>'G - Cash Flow'!H15</f>
        <v>1940.2860000000001</v>
      </c>
      <c r="ID15" s="2053">
        <f>'G - Cash Flow'!I15</f>
        <v>1940.2860000000001</v>
      </c>
      <c r="IE15" s="2053">
        <f>'G - Cash Flow'!J15</f>
        <v>1940.2860000000001</v>
      </c>
      <c r="IF15" s="2053">
        <f>'G - Cash Flow'!K15</f>
        <v>1940.2860000000001</v>
      </c>
      <c r="IG15" s="2053">
        <f>'G - Cash Flow'!L15</f>
        <v>1940.2860000000001</v>
      </c>
      <c r="IH15" s="2053">
        <f>'G - Cash Flow'!M15</f>
        <v>1940.2860000000001</v>
      </c>
      <c r="II15" s="2053">
        <f>'G - Cash Flow'!N15</f>
        <v>1940.2860000000001</v>
      </c>
      <c r="IJ15" s="2054">
        <f>'G - Cash Flow'!O15</f>
        <v>23899.002339999999</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113</v>
      </c>
      <c r="KC15" s="2009">
        <f>'J - Capital In Year Schemes'!M15</f>
        <v>113</v>
      </c>
      <c r="KD15" s="2009">
        <f>'J - Capital In Year Schemes'!N15</f>
        <v>114</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t="str">
        <f>'M - Aged Debtors'!B15</f>
        <v>Betsi Cadwaladr ULHB</v>
      </c>
      <c r="LN15" s="1761" t="str">
        <f>'M - Aged Debtors'!C15</f>
        <v>50054702</v>
      </c>
      <c r="LO15" s="1762">
        <f>'M - Aged Debtors'!D15</f>
        <v>45042</v>
      </c>
      <c r="LP15" s="1763">
        <f>'M - Aged Debtors'!E15</f>
        <v>400</v>
      </c>
      <c r="LQ15" s="1971">
        <f>'M - Aged Debtors'!F15</f>
        <v>400</v>
      </c>
      <c r="LR15" s="1165" t="str">
        <f>'M - Aged Debtors'!G15</f>
        <v>Yes, valid entry for period</v>
      </c>
      <c r="LS15" s="828">
        <f>'M - Aged Debtors'!H15</f>
        <v>400</v>
      </c>
      <c r="LT15" s="828" t="str">
        <f>'M - Aged Debtors'!I15</f>
        <v/>
      </c>
      <c r="LU15" s="829">
        <f>'M - Aged Debtors'!J15</f>
        <v>45161</v>
      </c>
      <c r="LV15" s="1756" t="str">
        <f>'M - Aged Debtors'!K15</f>
        <v>Pre-arbitration letter issued 02-08-2023</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457.09100000000001</v>
      </c>
      <c r="BM16" s="1800">
        <f>'B - Monthly Positions'!I16</f>
        <v>419.49799999999999</v>
      </c>
      <c r="BN16" s="1800">
        <f>'B - Monthly Positions'!J16</f>
        <v>417.58699999999999</v>
      </c>
      <c r="BO16" s="1800">
        <f>'B - Monthly Positions'!K16</f>
        <v>417.58600000000001</v>
      </c>
      <c r="BP16" s="1800">
        <f>'B - Monthly Positions'!L16</f>
        <v>417.59199999999998</v>
      </c>
      <c r="BQ16" s="1800">
        <f>'B - Monthly Positions'!M16</f>
        <v>415.59199999999998</v>
      </c>
      <c r="BR16" s="1800">
        <f>'B - Monthly Positions'!N16</f>
        <v>413.09100000000001</v>
      </c>
      <c r="BS16" s="2109">
        <f>'B - Monthly Positions'!O16</f>
        <v>412.77100000000002</v>
      </c>
      <c r="BT16" s="1799">
        <f>'B - Monthly Positions'!P16</f>
        <v>2302</v>
      </c>
      <c r="BU16" s="1799">
        <f>'B - Monthly Positions'!Q16</f>
        <v>5672.808</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1568.9973166666666</v>
      </c>
      <c r="CV16" s="1776">
        <f>'B2 - Pay &amp; Agency'!H16</f>
        <v>1583.2831916666667</v>
      </c>
      <c r="CW16" s="1776">
        <f>'B2 - Pay &amp; Agency'!I16</f>
        <v>1585.2831916666667</v>
      </c>
      <c r="CX16" s="1776">
        <f>'B2 - Pay &amp; Agency'!J16</f>
        <v>1585.2831916666667</v>
      </c>
      <c r="CY16" s="1776">
        <f>'B2 - Pay &amp; Agency'!K16</f>
        <v>1585.2831916666667</v>
      </c>
      <c r="CZ16" s="1776">
        <f>'B2 - Pay &amp; Agency'!L16</f>
        <v>1585.2831916666667</v>
      </c>
      <c r="DA16" s="1776">
        <f>'B2 - Pay &amp; Agency'!M16</f>
        <v>1585.2831916666667</v>
      </c>
      <c r="DB16" s="1777">
        <f>'B2 - Pay &amp; Agency'!N16</f>
        <v>1602.2831916666667</v>
      </c>
      <c r="DC16" s="1323">
        <f>'B2 - Pay &amp; Agency'!O16</f>
        <v>7097</v>
      </c>
      <c r="DD16" s="1324">
        <f>'B2 - Pay &amp; Agency'!P16</f>
        <v>19777.979658333334</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47.166899999999998</v>
      </c>
      <c r="DM16" s="1902">
        <f>'B3 - COVID-19'!H16</f>
        <v>61.45277500000001</v>
      </c>
      <c r="DN16" s="1902">
        <f>'B3 - COVID-19'!I16</f>
        <v>61.45277500000001</v>
      </c>
      <c r="DO16" s="1902">
        <f>'B3 - COVID-19'!J16</f>
        <v>61.45277500000001</v>
      </c>
      <c r="DP16" s="1902">
        <f>'B3 - COVID-19'!K16</f>
        <v>61.45277500000001</v>
      </c>
      <c r="DQ16" s="1902">
        <f>'B3 - COVID-19'!L16</f>
        <v>61.45277500000001</v>
      </c>
      <c r="DR16" s="1902">
        <f>'B3 - COVID-19'!M16</f>
        <v>61.45277500000001</v>
      </c>
      <c r="DS16" s="1902">
        <f>'B3 - COVID-19'!N16</f>
        <v>61.45277500000001</v>
      </c>
      <c r="DT16" s="1862">
        <f>'B3 - COVID-19'!O16</f>
        <v>122.63961</v>
      </c>
      <c r="DU16" s="1862">
        <f>'B3 - COVID-19'!P16</f>
        <v>599.97593500000005</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44945</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t="str">
        <f>'M - Aged Debtors'!B16</f>
        <v>Betsi Cadwaladr ULHB</v>
      </c>
      <c r="LN16" s="1761" t="str">
        <f>'M - Aged Debtors'!C16</f>
        <v>50054703</v>
      </c>
      <c r="LO16" s="1762">
        <f>'M - Aged Debtors'!D16</f>
        <v>45042</v>
      </c>
      <c r="LP16" s="1763">
        <f>'M - Aged Debtors'!E16</f>
        <v>400</v>
      </c>
      <c r="LQ16" s="1971">
        <f>'M - Aged Debtors'!F16</f>
        <v>400</v>
      </c>
      <c r="LR16" s="1165" t="str">
        <f>'M - Aged Debtors'!G16</f>
        <v>Yes, valid entry for period</v>
      </c>
      <c r="LS16" s="828">
        <f>'M - Aged Debtors'!H16</f>
        <v>400</v>
      </c>
      <c r="LT16" s="828" t="str">
        <f>'M - Aged Debtors'!I16</f>
        <v/>
      </c>
      <c r="LU16" s="829">
        <f>'M - Aged Debtors'!J16</f>
        <v>45161</v>
      </c>
      <c r="LV16" s="1756" t="str">
        <f>'M - Aged Debtors'!K16</f>
        <v>Pre-arbitration letter issued 02-08-2023</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19352.22126876175</v>
      </c>
      <c r="BM17" s="1109">
        <f>'B - Monthly Positions'!I17</f>
        <v>19486.363593371585</v>
      </c>
      <c r="BN17" s="1109">
        <f>'B - Monthly Positions'!J17</f>
        <v>20078.820070619673</v>
      </c>
      <c r="BO17" s="1109">
        <f>'B - Monthly Positions'!K17</f>
        <v>19805.060604846996</v>
      </c>
      <c r="BP17" s="1109">
        <f>'B - Monthly Positions'!L17</f>
        <v>20185.062570619673</v>
      </c>
      <c r="BQ17" s="1109">
        <f>'B - Monthly Positions'!M17</f>
        <v>19874.332070619672</v>
      </c>
      <c r="BR17" s="1109">
        <f>'B - Monthly Positions'!N17</f>
        <v>19848.176239074317</v>
      </c>
      <c r="BS17" s="1109">
        <f>'B - Monthly Positions'!O17</f>
        <v>24279.217495619672</v>
      </c>
      <c r="BT17" s="1109">
        <f>'B - Monthly Positions'!P17</f>
        <v>76535</v>
      </c>
      <c r="BU17" s="1109">
        <f>'B - Monthly Positions'!Q17</f>
        <v>239444.25391353332</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1</v>
      </c>
      <c r="CW17" s="1776">
        <f>'B2 - Pay &amp; Agency'!I17</f>
        <v>1</v>
      </c>
      <c r="CX17" s="1776">
        <f>'B2 - Pay &amp; Agency'!J17</f>
        <v>1</v>
      </c>
      <c r="CY17" s="1776">
        <f>'B2 - Pay &amp; Agency'!K17</f>
        <v>1</v>
      </c>
      <c r="CZ17" s="1776">
        <f>'B2 - Pay &amp; Agency'!L17</f>
        <v>1</v>
      </c>
      <c r="DA17" s="1776">
        <f>'B2 - Pay &amp; Agency'!M17</f>
        <v>1</v>
      </c>
      <c r="DB17" s="1777">
        <f>'B2 - Pay &amp; Agency'!N17</f>
        <v>1</v>
      </c>
      <c r="DC17" s="1323">
        <f>'B2 - Pay &amp; Agency'!O17</f>
        <v>13</v>
      </c>
      <c r="DD17" s="1324">
        <f>'B2 - Pay &amp; Agency'!P17</f>
        <v>21</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t="str">
        <f>'M - Aged Debtors'!B17</f>
        <v>Betsi Cadwaladr ULHB</v>
      </c>
      <c r="LN17" s="1761" t="str">
        <f>'M - Aged Debtors'!C17</f>
        <v>50054704</v>
      </c>
      <c r="LO17" s="1762">
        <f>'M - Aged Debtors'!D17</f>
        <v>45042</v>
      </c>
      <c r="LP17" s="1763">
        <f>'M - Aged Debtors'!E17</f>
        <v>400</v>
      </c>
      <c r="LQ17" s="1971">
        <f>'M - Aged Debtors'!F17</f>
        <v>400</v>
      </c>
      <c r="LR17" s="1165" t="str">
        <f>'M - Aged Debtors'!G17</f>
        <v>Yes, valid entry for period</v>
      </c>
      <c r="LS17" s="828">
        <f>'M - Aged Debtors'!H17</f>
        <v>400</v>
      </c>
      <c r="LT17" s="828" t="str">
        <f>'M - Aged Debtors'!I17</f>
        <v/>
      </c>
      <c r="LU17" s="829">
        <f>'M - Aged Debtors'!J17</f>
        <v>45161</v>
      </c>
      <c r="LV17" s="1756" t="str">
        <f>'M - Aged Debtors'!K17</f>
        <v>Pre-arbitration letter issued 02-08-2023</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1770.6666666666667</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30-06-2023</v>
      </c>
      <c r="HO18" s="2006">
        <f>'F - SoFP'!A18</f>
        <v>9</v>
      </c>
      <c r="HP18" s="2007" t="str">
        <f>'F - SoFP'!B18</f>
        <v>Cash and cash equivalents</v>
      </c>
      <c r="HQ18" s="2008">
        <f>'F - SoFP'!C18</f>
        <v>15569</v>
      </c>
      <c r="HR18" s="2009">
        <f>'F - SoFP'!D18</f>
        <v>14056</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69.532250000000005</v>
      </c>
      <c r="IC18" s="2053">
        <f>'G - Cash Flow'!H18</f>
        <v>69.532250000000005</v>
      </c>
      <c r="ID18" s="2053">
        <f>'G - Cash Flow'!I18</f>
        <v>69.532250000000005</v>
      </c>
      <c r="IE18" s="2053">
        <f>'G - Cash Flow'!J18</f>
        <v>69.532250000000005</v>
      </c>
      <c r="IF18" s="2053">
        <f>'G - Cash Flow'!K18</f>
        <v>69.532250000000005</v>
      </c>
      <c r="IG18" s="2053">
        <f>'G - Cash Flow'!L18</f>
        <v>69.532250000000005</v>
      </c>
      <c r="IH18" s="2053">
        <f>'G - Cash Flow'!M18</f>
        <v>69.532250000000005</v>
      </c>
      <c r="II18" s="2053">
        <f>'G - Cash Flow'!N18</f>
        <v>69.532250000000005</v>
      </c>
      <c r="IJ18" s="2054">
        <f>'G - Cash Flow'!O18</f>
        <v>834.38699999999983</v>
      </c>
      <c r="IK18" s="1941"/>
      <c r="IM18" s="119">
        <f>'H - PSPP'!A18</f>
        <v>5</v>
      </c>
      <c r="IN18" s="386" t="str">
        <f>'H - PSPP'!B18</f>
        <v>% of NHS Invoices Paid Within 10 Days - By Value</v>
      </c>
      <c r="IO18" s="956"/>
      <c r="IP18" s="1759">
        <f>'H - PSPP'!D18</f>
        <v>0.38490000000000002</v>
      </c>
      <c r="IQ18" s="959"/>
      <c r="IR18" s="1759">
        <f>'H - PSPP'!F18</f>
        <v>0</v>
      </c>
      <c r="IS18" s="959"/>
      <c r="IT18" s="1759">
        <f>'H - PSPP'!H18</f>
        <v>0</v>
      </c>
      <c r="IU18" s="959"/>
      <c r="IV18" s="1759">
        <f>'H - PSPP'!J18</f>
        <v>0</v>
      </c>
      <c r="IW18" s="959"/>
      <c r="IX18" s="1759">
        <f>'H - PSPP'!L18</f>
        <v>0.38490000000000002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t="str">
        <f>'M - Aged Debtors'!B18</f>
        <v>Betsi Cadwaladr ULHB</v>
      </c>
      <c r="LN18" s="1761" t="str">
        <f>'M - Aged Debtors'!C18</f>
        <v>50054705</v>
      </c>
      <c r="LO18" s="1762">
        <f>'M - Aged Debtors'!D18</f>
        <v>45042</v>
      </c>
      <c r="LP18" s="1763">
        <f>'M - Aged Debtors'!E18</f>
        <v>400</v>
      </c>
      <c r="LQ18" s="1971">
        <f>'M - Aged Debtors'!F18</f>
        <v>400</v>
      </c>
      <c r="LR18" s="1165" t="str">
        <f>'M - Aged Debtors'!G18</f>
        <v>Yes, valid entry for period</v>
      </c>
      <c r="LS18" s="828">
        <f>'M - Aged Debtors'!H18</f>
        <v>400</v>
      </c>
      <c r="LT18" s="828" t="str">
        <f>'M - Aged Debtors'!I18</f>
        <v/>
      </c>
      <c r="LU18" s="829">
        <f>'M - Aged Debtors'!J18</f>
        <v>45161</v>
      </c>
      <c r="LV18" s="1756" t="str">
        <f>'M - Aged Debtors'!K18</f>
        <v>Pre-arbitration letter issued 02-08-2023</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10913.532233333332</v>
      </c>
      <c r="CV19" s="1341">
        <f>'B2 - Pay &amp; Agency'!H19</f>
        <v>10993.259676666667</v>
      </c>
      <c r="CW19" s="1341">
        <f>'B2 - Pay &amp; Agency'!I19</f>
        <v>11098.102576666668</v>
      </c>
      <c r="CX19" s="1341">
        <f>'B2 - Pay &amp; Agency'!J19</f>
        <v>11108.102576666668</v>
      </c>
      <c r="CY19" s="1341">
        <f>'B2 - Pay &amp; Agency'!K19</f>
        <v>11113.102576666668</v>
      </c>
      <c r="CZ19" s="1341">
        <f>'B2 - Pay &amp; Agency'!L19</f>
        <v>11108.102576666668</v>
      </c>
      <c r="DA19" s="1341">
        <f>'B2 - Pay &amp; Agency'!M19</f>
        <v>11100.259676666667</v>
      </c>
      <c r="DB19" s="1342">
        <f>'B2 - Pay &amp; Agency'!N19</f>
        <v>11461.399441666668</v>
      </c>
      <c r="DC19" s="1343">
        <f>'B2 - Pay &amp; Agency'!O19</f>
        <v>46747</v>
      </c>
      <c r="DD19" s="1344">
        <f>'B2 - Pay &amp; Agency'!P19</f>
        <v>135642.86133500002</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116.90023333333332</v>
      </c>
      <c r="DM19" s="1907">
        <f>'B3 - COVID-19'!H19</f>
        <v>150.6276766666667</v>
      </c>
      <c r="DN19" s="1907">
        <f>'B3 - COVID-19'!I19</f>
        <v>153.47057666666669</v>
      </c>
      <c r="DO19" s="1907">
        <f>'B3 - COVID-19'!J19</f>
        <v>153.47057666666669</v>
      </c>
      <c r="DP19" s="1907">
        <f>'B3 - COVID-19'!K19</f>
        <v>153.47057666666669</v>
      </c>
      <c r="DQ19" s="1907">
        <f>'B3 - COVID-19'!L19</f>
        <v>153.47057666666669</v>
      </c>
      <c r="DR19" s="1907">
        <f>'B3 - COVID-19'!M19</f>
        <v>150.6276766666667</v>
      </c>
      <c r="DS19" s="1907">
        <f>'B3 - COVID-19'!N19</f>
        <v>148.76744166666668</v>
      </c>
      <c r="DT19" s="1907">
        <f>'B3 - COVID-19'!O19</f>
        <v>235.64557000000002</v>
      </c>
      <c r="DU19" s="1907">
        <f>'B3 - COVID-19'!P19</f>
        <v>1416.4509050000001</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122</v>
      </c>
      <c r="HJ19" s="1797">
        <f>'E1 - Invoiced Income'!R19</f>
        <v>0</v>
      </c>
      <c r="HK19" s="1797">
        <f>'E1 - Invoiced Income'!S19</f>
        <v>0</v>
      </c>
      <c r="HL19" s="1664">
        <f>'E1 - Invoiced Income'!T19</f>
        <v>122</v>
      </c>
      <c r="HM19" s="1798" t="str">
        <f>'E1 - Invoiced Income'!U19</f>
        <v>As confirmed on non-cash submission 30-06-2023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v>
      </c>
      <c r="IS19" s="959"/>
      <c r="IT19" s="1759">
        <f>'H - PSPP'!H19</f>
        <v>0</v>
      </c>
      <c r="IU19" s="959"/>
      <c r="IV19" s="1759">
        <f>'H - PSPP'!J19</f>
        <v>0</v>
      </c>
      <c r="IW19" s="959"/>
      <c r="IX19" s="1759">
        <f>'H - PSPP'!L19</f>
        <v>0.44690000000000002</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(NHS Wales Health Collaborative)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f>'J - Capital In Year Schemes'!T19</f>
        <v>0</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t="str">
        <f>'M - Aged Debtors'!B19</f>
        <v>Betsi Cadwaladr ULHB</v>
      </c>
      <c r="LN19" s="1761" t="str">
        <f>'M - Aged Debtors'!C19</f>
        <v>50054706</v>
      </c>
      <c r="LO19" s="1762">
        <f>'M - Aged Debtors'!D19</f>
        <v>45042</v>
      </c>
      <c r="LP19" s="1763">
        <f>'M - Aged Debtors'!E19</f>
        <v>400</v>
      </c>
      <c r="LQ19" s="1971">
        <f>'M - Aged Debtors'!F19</f>
        <v>400</v>
      </c>
      <c r="LR19" s="1165" t="str">
        <f>'M - Aged Debtors'!G19</f>
        <v>Yes, valid entry for period</v>
      </c>
      <c r="LS19" s="828">
        <f>'M - Aged Debtors'!H19</f>
        <v>400</v>
      </c>
      <c r="LT19" s="828" t="str">
        <f>'M - Aged Debtors'!I19</f>
        <v/>
      </c>
      <c r="LU19" s="829">
        <f>'M - Aged Debtors'!J19</f>
        <v>45161</v>
      </c>
      <c r="LV19" s="1756" t="str">
        <f>'M - Aged Debtors'!K19</f>
        <v>Pre-arbitration letter issued 02-08-2023</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10913.532233333333</v>
      </c>
      <c r="BM20" s="1782">
        <f>'B - Monthly Positions'!I20</f>
        <v>10993.259676666667</v>
      </c>
      <c r="BN20" s="1782">
        <f>'B - Monthly Positions'!J20</f>
        <v>11098.102576666666</v>
      </c>
      <c r="BO20" s="1782">
        <f>'B - Monthly Positions'!K20</f>
        <v>11108.102576666666</v>
      </c>
      <c r="BP20" s="1782">
        <f>'B - Monthly Positions'!L20</f>
        <v>11113.102576666666</v>
      </c>
      <c r="BQ20" s="1782">
        <f>'B - Monthly Positions'!M20</f>
        <v>11108.102576666666</v>
      </c>
      <c r="BR20" s="1782">
        <f>'B - Monthly Positions'!N20</f>
        <v>11100.259676666667</v>
      </c>
      <c r="BS20" s="1782">
        <f>'B - Monthly Positions'!O20</f>
        <v>11461.399441666666</v>
      </c>
      <c r="BT20" s="1781">
        <f>'B - Monthly Positions'!P20</f>
        <v>46747</v>
      </c>
      <c r="BU20" s="1781">
        <f>'B - Monthly Positions'!Q20</f>
        <v>135642.86133499999</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960.66666666666652</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60873</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315.69200000000001</v>
      </c>
      <c r="IC20" s="2053">
        <f>'G - Cash Flow'!H20</f>
        <v>315.69200000000001</v>
      </c>
      <c r="ID20" s="2053">
        <f>'G - Cash Flow'!I20</f>
        <v>315.69200000000001</v>
      </c>
      <c r="IE20" s="2053">
        <f>'G - Cash Flow'!J20</f>
        <v>315.69200000000001</v>
      </c>
      <c r="IF20" s="2053">
        <f>'G - Cash Flow'!K20</f>
        <v>315.69200000000001</v>
      </c>
      <c r="IG20" s="2053">
        <f>'G - Cash Flow'!L20</f>
        <v>315.69200000000001</v>
      </c>
      <c r="IH20" s="2053">
        <f>'G - Cash Flow'!M20</f>
        <v>315.69200000000001</v>
      </c>
      <c r="II20" s="2053">
        <f>'G - Cash Flow'!N20</f>
        <v>339.25900000000001</v>
      </c>
      <c r="IJ20" s="2054">
        <f>'G - Cash Flow'!O20</f>
        <v>5515.6763300000002</v>
      </c>
      <c r="IK20" s="1941"/>
      <c r="IM20" s="119">
        <f>'H - PSPP'!A20</f>
        <v>7</v>
      </c>
      <c r="IN20" s="386" t="str">
        <f>'H - PSPP'!B20</f>
        <v>% of Non NHS Invoices Paid Within 10 Days - By Value</v>
      </c>
      <c r="IO20" s="956"/>
      <c r="IP20" s="1759">
        <f>'H - PSPP'!D20</f>
        <v>0.72850000000000004</v>
      </c>
      <c r="IQ20" s="959"/>
      <c r="IR20" s="1759">
        <f>'H - PSPP'!F20</f>
        <v>0</v>
      </c>
      <c r="IS20" s="959"/>
      <c r="IT20" s="1759">
        <f>'H - PSPP'!H20</f>
        <v>0</v>
      </c>
      <c r="IU20" s="959"/>
      <c r="IV20" s="1759">
        <f>'H - PSPP'!J20</f>
        <v>0</v>
      </c>
      <c r="IW20" s="959"/>
      <c r="IX20" s="1759">
        <f>'H - PSPP'!L20</f>
        <v>0.72850000000000004</v>
      </c>
      <c r="IY20" s="959"/>
      <c r="IZ20" s="1759">
        <f>'H - PSPP'!N20</f>
        <v>0.7</v>
      </c>
      <c r="JA20" s="959"/>
      <c r="JB20" s="1744"/>
      <c r="JD20" s="2087">
        <f>'I - Capital RLM'!A20</f>
        <v>2</v>
      </c>
      <c r="JE20" s="2125" t="str">
        <f>'I - Capital RLM'!B20</f>
        <v xml:space="preserve">Screening Equipment Replacement (BTW Imaging Equip) </v>
      </c>
      <c r="JF20" s="2009">
        <f>'I - Capital RLM'!C20</f>
        <v>15.6671</v>
      </c>
      <c r="JG20" s="2009">
        <f>'I - Capital RLM'!D20</f>
        <v>15.6671</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f>'J - Capital In Year Schemes'!B20</f>
        <v>0</v>
      </c>
      <c r="JS20" s="2088">
        <f>'J - Capital In Year Schemes'!C20</f>
        <v>0</v>
      </c>
      <c r="JT20" s="2009">
        <f>'J - Capital In Year Schemes'!D20</f>
        <v>0</v>
      </c>
      <c r="JU20" s="2009">
        <f>'J - Capital In Year Schemes'!E20</f>
        <v>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0</v>
      </c>
      <c r="KH20" s="2089">
        <f>'J - Capital In Year Schemes'!R20</f>
        <v>0</v>
      </c>
      <c r="KI20" s="2089">
        <f>'J - Capital In Year Schemes'!S20</f>
        <v>0</v>
      </c>
      <c r="KJ20" s="2090">
        <f>'J - Capital In Year Schemes'!T20</f>
        <v>0</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-1809</v>
      </c>
      <c r="LH20" s="1778">
        <f>'L - EFL'!D20</f>
        <v>-1808.9995199999998</v>
      </c>
      <c r="LI20" s="1612">
        <f>'L - EFL'!E20</f>
        <v>4.8000000015235855E-4</v>
      </c>
      <c r="LJ20" s="1778">
        <f>'L - EFL'!F20</f>
        <v>-32.248040000000003</v>
      </c>
      <c r="LL20" s="813"/>
      <c r="LM20" s="1760" t="str">
        <f>'M - Aged Debtors'!B20</f>
        <v>Betsi Cadwaladr ULHB</v>
      </c>
      <c r="LN20" s="1761" t="str">
        <f>'M - Aged Debtors'!C20</f>
        <v>50054707</v>
      </c>
      <c r="LO20" s="1762">
        <f>'M - Aged Debtors'!D20</f>
        <v>45042</v>
      </c>
      <c r="LP20" s="1763">
        <f>'M - Aged Debtors'!E20</f>
        <v>400</v>
      </c>
      <c r="LQ20" s="1971">
        <f>'M - Aged Debtors'!F20</f>
        <v>400</v>
      </c>
      <c r="LR20" s="1165" t="str">
        <f>'M - Aged Debtors'!G20</f>
        <v>Yes, valid entry for period</v>
      </c>
      <c r="LS20" s="828">
        <f>'M - Aged Debtors'!H20</f>
        <v>400</v>
      </c>
      <c r="LT20" s="828" t="str">
        <f>'M - Aged Debtors'!I20</f>
        <v/>
      </c>
      <c r="LU20" s="829">
        <f>'M - Aged Debtors'!J20</f>
        <v>45161</v>
      </c>
      <c r="LV20" s="1756" t="str">
        <f>'M - Aged Debtors'!K20</f>
        <v>Pre-arbitration letter issued 02-08-2023</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7893.5970354284145</v>
      </c>
      <c r="BM21" s="1781">
        <f>'B - Monthly Positions'!I21</f>
        <v>7947.5409167049183</v>
      </c>
      <c r="BN21" s="1781">
        <f>'B - Monthly Positions'!J21</f>
        <v>8435.4554939530062</v>
      </c>
      <c r="BO21" s="1781">
        <f>'B - Monthly Positions'!K21</f>
        <v>8151.698028180328</v>
      </c>
      <c r="BP21" s="1781">
        <f>'B - Monthly Positions'!L21</f>
        <v>8526.6929939530055</v>
      </c>
      <c r="BQ21" s="1781">
        <f>'B - Monthly Positions'!M21</f>
        <v>8220.9554939530062</v>
      </c>
      <c r="BR21" s="1781">
        <f>'B - Monthly Positions'!N21</f>
        <v>8202.8025624076508</v>
      </c>
      <c r="BS21" s="1781">
        <f>'B - Monthly Positions'!O21</f>
        <v>12430.559053953006</v>
      </c>
      <c r="BT21" s="1781">
        <f>'B - Monthly Positions'!P21</f>
        <v>27450.528999999999</v>
      </c>
      <c r="BU21" s="1781">
        <f>'B - Monthly Positions'!Q21</f>
        <v>97259.830578533336</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960.66666666666652</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20360.539249999998</v>
      </c>
      <c r="IC21" s="2129">
        <f>'G - Cash Flow'!H21</f>
        <v>20360.539249999998</v>
      </c>
      <c r="ID21" s="2129">
        <f>'G - Cash Flow'!I21</f>
        <v>20360.539249999998</v>
      </c>
      <c r="IE21" s="2129">
        <f>'G - Cash Flow'!J21</f>
        <v>20360.539249999998</v>
      </c>
      <c r="IF21" s="2129">
        <f>'G - Cash Flow'!K21</f>
        <v>20360.539249999998</v>
      </c>
      <c r="IG21" s="2129">
        <f>'G - Cash Flow'!L21</f>
        <v>20360.539249999998</v>
      </c>
      <c r="IH21" s="2129">
        <f>'G - Cash Flow'!M21</f>
        <v>20360.539249999998</v>
      </c>
      <c r="II21" s="2129">
        <f>'G - Cash Flow'!N21</f>
        <v>20384.106249999997</v>
      </c>
      <c r="IJ21" s="2129">
        <f>'G - Cash Flow'!O21</f>
        <v>239900.98084</v>
      </c>
      <c r="IK21" s="1941"/>
      <c r="IM21" s="119">
        <f>'H - PSPP'!A21</f>
        <v>8</v>
      </c>
      <c r="IN21" s="386" t="str">
        <f>'H - PSPP'!B21</f>
        <v>% of Non NHS Invoices Paid Within 10 Days - By Number</v>
      </c>
      <c r="IO21" s="956"/>
      <c r="IP21" s="1759">
        <f>'H - PSPP'!D21</f>
        <v>0.70799999999999996</v>
      </c>
      <c r="IQ21" s="960"/>
      <c r="IR21" s="1759">
        <f>'H - PSPP'!F21</f>
        <v>0</v>
      </c>
      <c r="IS21" s="960"/>
      <c r="IT21" s="1759">
        <f>'H - PSPP'!H21</f>
        <v>0</v>
      </c>
      <c r="IU21" s="960"/>
      <c r="IV21" s="1759">
        <f>'H - PSPP'!J21</f>
        <v>0</v>
      </c>
      <c r="IW21" s="960"/>
      <c r="IX21" s="1759">
        <f>'H - PSPP'!L21</f>
        <v>0.70799999999999996</v>
      </c>
      <c r="IY21" s="960"/>
      <c r="IZ21" s="1759">
        <f>'H - PSPP'!N21</f>
        <v>0.7</v>
      </c>
      <c r="JA21" s="960"/>
      <c r="JB21" s="1744"/>
      <c r="JD21" s="2087">
        <f>'I - Capital RLM'!A21</f>
        <v>3</v>
      </c>
      <c r="JE21" s="2125" t="str">
        <f>'I - Capital RLM'!B21</f>
        <v>(EFAB) - Fire Compliance Works</v>
      </c>
      <c r="JF21" s="2009">
        <f>'I - Capital RLM'!C21</f>
        <v>0</v>
      </c>
      <c r="JG21" s="2009">
        <f>'I - Capital RLM'!D21</f>
        <v>0</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t="str">
        <f>'M - Aged Debtors'!B21</f>
        <v>Betsi Cadwaladr ULHB</v>
      </c>
      <c r="LN21" s="1761" t="str">
        <f>'M - Aged Debtors'!C21</f>
        <v>50054708</v>
      </c>
      <c r="LO21" s="1762">
        <f>'M - Aged Debtors'!D21</f>
        <v>45042</v>
      </c>
      <c r="LP21" s="1763">
        <f>'M - Aged Debtors'!E21</f>
        <v>400</v>
      </c>
      <c r="LQ21" s="1971">
        <f>'M - Aged Debtors'!F21</f>
        <v>400</v>
      </c>
      <c r="LR21" s="1165" t="str">
        <f>'M - Aged Debtors'!G21</f>
        <v>Yes, valid entry for period</v>
      </c>
      <c r="LS21" s="828">
        <f>'M - Aged Debtors'!H21</f>
        <v>400</v>
      </c>
      <c r="LT21" s="828" t="str">
        <f>'M - Aged Debtors'!I21</f>
        <v/>
      </c>
      <c r="LU21" s="829">
        <f>'M - Aged Debtors'!J21</f>
        <v>45161</v>
      </c>
      <c r="LV21" s="1756" t="str">
        <f>'M - Aged Debtors'!K21</f>
        <v>Pre-arbitration letter issued 02-08-2023</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810</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12633.919</v>
      </c>
      <c r="HJ22" s="1797">
        <f>'E1 - Invoiced Income'!R22</f>
        <v>0</v>
      </c>
      <c r="HK22" s="1797">
        <f>'E1 - Invoiced Income'!S22</f>
        <v>0</v>
      </c>
      <c r="HL22" s="1664">
        <f>'E1 - Invoiced Income'!T22</f>
        <v>12633.919</v>
      </c>
      <c r="HM22" s="2595" t="str">
        <f>'E1 - Invoiced Income'!U22</f>
        <v>See below analysis</v>
      </c>
      <c r="HO22" s="2083">
        <f>'F - SoFP'!A22</f>
        <v>12</v>
      </c>
      <c r="HP22" s="2130" t="str">
        <f>'F - SoFP'!B22</f>
        <v>TOTAL ASSETS</v>
      </c>
      <c r="HQ22" s="2036">
        <f>'F - SoFP'!C22</f>
        <v>76561</v>
      </c>
      <c r="HR22" s="2025">
        <f>'F - SoFP'!D22</f>
        <v>95536</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t="str">
        <f>'M - Aged Debtors'!B22</f>
        <v>Betsi Cadwaladr ULHB</v>
      </c>
      <c r="LN22" s="2140" t="str">
        <f>'M - Aged Debtors'!C22</f>
        <v>50054709</v>
      </c>
      <c r="LO22" s="2141">
        <f>'M - Aged Debtors'!D22</f>
        <v>45042</v>
      </c>
      <c r="LP22" s="2142">
        <f>'M - Aged Debtors'!E22</f>
        <v>400</v>
      </c>
      <c r="LQ22" s="2143">
        <f>'M - Aged Debtors'!F22</f>
        <v>400</v>
      </c>
      <c r="LR22" s="2144" t="str">
        <f>'M - Aged Debtors'!G22</f>
        <v>Yes, valid entry for period</v>
      </c>
      <c r="LS22" s="828">
        <f>'M - Aged Debtors'!H22</f>
        <v>400</v>
      </c>
      <c r="LT22" s="828" t="str">
        <f>'M - Aged Debtors'!I22</f>
        <v/>
      </c>
      <c r="LU22" s="829">
        <f>'M - Aged Debtors'!J22</f>
        <v>45161</v>
      </c>
      <c r="LV22" s="1756" t="str">
        <f>'M - Aged Debtors'!K22</f>
        <v>Pre-arbitration letter issued 02-08-2023</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895.51103542841531</v>
      </c>
      <c r="DM23" s="1329">
        <f>'B3 - COVID-19'!H23</f>
        <v>895.69491670491811</v>
      </c>
      <c r="DN23" s="1329">
        <f>'B3 - COVID-19'!I23</f>
        <v>1120.1594939530055</v>
      </c>
      <c r="DO23" s="1329">
        <f>'B3 - COVID-19'!J23</f>
        <v>1128.402028180328</v>
      </c>
      <c r="DP23" s="1329">
        <f>'B3 - COVID-19'!K23</f>
        <v>1252.3469939530055</v>
      </c>
      <c r="DQ23" s="1329">
        <f>'B3 - COVID-19'!L23</f>
        <v>1207.6594939530055</v>
      </c>
      <c r="DR23" s="1329">
        <f>'B3 - COVID-19'!M23</f>
        <v>1121.6455624076502</v>
      </c>
      <c r="DS23" s="1329">
        <f>'B3 - COVID-19'!N23</f>
        <v>1191.3469939530055</v>
      </c>
      <c r="DT23" s="1862">
        <f>'B3 - COVID-19'!O23</f>
        <v>3108.5199400000001</v>
      </c>
      <c r="DU23" s="1862">
        <f>'B3 - COVID-19'!P23</f>
        <v>11921.286458533334</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810</v>
      </c>
      <c r="EO23" s="939">
        <f>'C, C1, C2&amp; C3 - Savings Schemes'!Q23</f>
        <v>1758</v>
      </c>
      <c r="EP23" s="1166">
        <f>'C, C1, C2&amp; C3 - Savings Schemes'!R23</f>
        <v>0.46075085324232085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144</v>
      </c>
      <c r="GC23" s="2047">
        <f>'D - Welsh NHS Assumptions'!I23</f>
        <v>144</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292</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-1.8999999997504347E-4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10913.532233333333</v>
      </c>
      <c r="CV24" s="1569">
        <f>'B2 - Pay &amp; Agency'!H24</f>
        <v>10993.259676666667</v>
      </c>
      <c r="CW24" s="1569">
        <f>'B2 - Pay &amp; Agency'!I24</f>
        <v>11098.102576666666</v>
      </c>
      <c r="CX24" s="1569">
        <f>'B2 - Pay &amp; Agency'!J24</f>
        <v>11108.102576666666</v>
      </c>
      <c r="CY24" s="1569">
        <f>'B2 - Pay &amp; Agency'!K24</f>
        <v>11113.102576666666</v>
      </c>
      <c r="CZ24" s="1569">
        <f>'B2 - Pay &amp; Agency'!L24</f>
        <v>11108.102576666666</v>
      </c>
      <c r="DA24" s="1569">
        <f>'B2 - Pay &amp; Agency'!M24</f>
        <v>11100.259676666667</v>
      </c>
      <c r="DB24" s="1569">
        <f>'B2 - Pay &amp; Agency'!N24</f>
        <v>11461.399441666666</v>
      </c>
      <c r="DC24" s="1131">
        <f>'B2 - Pay &amp; Agency'!O24</f>
        <v>46747</v>
      </c>
      <c r="DD24" s="1322">
        <f>'B2 - Pay &amp; Agency'!P24</f>
        <v>135642.86133500002</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49.29</v>
      </c>
      <c r="DM24" s="1329">
        <f>'B3 - COVID-19'!H24</f>
        <v>164.05</v>
      </c>
      <c r="DN24" s="1329">
        <f>'B3 - COVID-19'!I24</f>
        <v>0</v>
      </c>
      <c r="DO24" s="1329">
        <f>'B3 - COVID-19'!J24</f>
        <v>0</v>
      </c>
      <c r="DP24" s="1329">
        <f>'B3 - COVID-19'!K24</f>
        <v>164.05</v>
      </c>
      <c r="DQ24" s="1329">
        <f>'B3 - COVID-19'!L24</f>
        <v>0</v>
      </c>
      <c r="DR24" s="1329">
        <f>'B3 - COVID-19'!M24</f>
        <v>0</v>
      </c>
      <c r="DS24" s="1329">
        <f>'B3 - COVID-19'!N24</f>
        <v>164.05</v>
      </c>
      <c r="DT24" s="1862">
        <f>'B3 - COVID-19'!O24</f>
        <v>29.900000000000002</v>
      </c>
      <c r="DU24" s="1862">
        <f>'B3 - COVID-19'!P24</f>
        <v>571.34</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-24095</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50</v>
      </c>
      <c r="DN25" s="1329">
        <f>'B3 - COVID-19'!I25</f>
        <v>0</v>
      </c>
      <c r="DO25" s="1329">
        <f>'B3 - COVID-19'!J25</f>
        <v>0</v>
      </c>
      <c r="DP25" s="1329">
        <f>'B3 - COVID-19'!K25</f>
        <v>0</v>
      </c>
      <c r="DQ25" s="1329">
        <f>'B3 - COVID-19'!L25</f>
        <v>0</v>
      </c>
      <c r="DR25" s="1329">
        <f>'B3 - COVID-19'!M25</f>
        <v>0</v>
      </c>
      <c r="DS25" s="1329">
        <f>'B3 - COVID-19'!N25</f>
        <v>50</v>
      </c>
      <c r="DT25" s="1862">
        <f>'B3 - COVID-19'!O25</f>
        <v>0</v>
      </c>
      <c r="DU25" s="1862">
        <f>'B3 - COVID-19'!P25</f>
        <v>100</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960.66666666666652</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M1-4 Consolidated pay award (1.5%) (based on actuals paid to date)</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443</v>
      </c>
      <c r="HJ25" s="1797">
        <f>'E1 - Invoiced Income'!R25</f>
        <v>0</v>
      </c>
      <c r="HK25" s="1797">
        <f>'E1 - Invoiced Income'!S25</f>
        <v>0</v>
      </c>
      <c r="HL25" s="1664">
        <f>'E1 - Invoiced Income'!T25</f>
        <v>443</v>
      </c>
      <c r="HM25" s="1798" t="str">
        <f>'E1 - Invoiced Income'!U25</f>
        <v xml:space="preserve">Per WG Pay Circular confirmed in 2022-23 </v>
      </c>
      <c r="HO25" s="2006">
        <f>'F - SoFP'!A25</f>
        <v>13</v>
      </c>
      <c r="HP25" s="2007" t="str">
        <f>'F - SoFP'!B25</f>
        <v>Trade and other payables</v>
      </c>
      <c r="HQ25" s="2008">
        <f>'F - SoFP'!C25</f>
        <v>30783</v>
      </c>
      <c r="HR25" s="2009">
        <f>'F - SoFP'!D25</f>
        <v>49171</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18388</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10913.532233333333</v>
      </c>
      <c r="CV26" s="1345">
        <f>'B2 - Pay &amp; Agency'!H26</f>
        <v>10993.259676666667</v>
      </c>
      <c r="CW26" s="1345">
        <f>'B2 - Pay &amp; Agency'!I26</f>
        <v>11098.102576666666</v>
      </c>
      <c r="CX26" s="1345">
        <f>'B2 - Pay &amp; Agency'!J26</f>
        <v>11108.102576666666</v>
      </c>
      <c r="CY26" s="1345">
        <f>'B2 - Pay &amp; Agency'!K26</f>
        <v>11113.102576666666</v>
      </c>
      <c r="CZ26" s="1345">
        <f>'B2 - Pay &amp; Agency'!L26</f>
        <v>11108.102576666666</v>
      </c>
      <c r="DA26" s="1345">
        <f>'B2 - Pay &amp; Agency'!M26</f>
        <v>11100.259676666667</v>
      </c>
      <c r="DB26" s="1344">
        <f>'B2 - Pay &amp; Agency'!N26</f>
        <v>11461.399441666666</v>
      </c>
      <c r="DC26" s="1343">
        <f>'B2 - Pay &amp; Agency'!O26</f>
        <v>46747</v>
      </c>
      <c r="DD26" s="1344">
        <f>'B2 - Pay &amp; Agency'!P26</f>
        <v>135642.86133500002</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960.66666666666652</v>
      </c>
      <c r="EO26" s="939">
        <f>'C, C1, C2&amp; C3 - Savings Schemes'!Q26</f>
        <v>1416.0000000000002</v>
      </c>
      <c r="EP26" s="1166">
        <f>'C, C1, C2&amp; C3 - Savings Schemes'!R26</f>
        <v>0.67843691148775875</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(based on actuals paid to date)</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1304</v>
      </c>
      <c r="HJ26" s="1797">
        <f>'E1 - Invoiced Income'!R26</f>
        <v>0</v>
      </c>
      <c r="HK26" s="1797">
        <f>'E1 - Invoiced Income'!S26</f>
        <v>0</v>
      </c>
      <c r="HL26" s="1664">
        <f>'E1 - Invoiced Income'!T26</f>
        <v>1304</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20350</v>
      </c>
      <c r="FX27" s="2047">
        <f>'D - Welsh NHS Assumptions'!D27</f>
        <v>12225</v>
      </c>
      <c r="FY27" s="2047">
        <f>'D - Welsh NHS Assumptions'!E27</f>
        <v>32575</v>
      </c>
      <c r="FZ27" s="1744"/>
      <c r="GA27" s="2047">
        <f>'D - Welsh NHS Assumptions'!G27</f>
        <v>17702</v>
      </c>
      <c r="GB27" s="2047">
        <f>'D - Welsh NHS Assumptions'!H27</f>
        <v>23221</v>
      </c>
      <c r="GC27" s="2047">
        <f>'D - Welsh NHS Assumptions'!I27</f>
        <v>40923</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430</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-960.66666666666652</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2399</v>
      </c>
      <c r="HR28" s="2009">
        <f>'F - SoFP'!D28</f>
        <v>6066</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11204.701999999999</v>
      </c>
      <c r="IC28" s="2063">
        <f>'G - Cash Flow'!H28</f>
        <v>11204.701999999999</v>
      </c>
      <c r="ID28" s="2063">
        <f>'G - Cash Flow'!I28</f>
        <v>11204.701999999999</v>
      </c>
      <c r="IE28" s="2063">
        <f>'G - Cash Flow'!J28</f>
        <v>11204.701999999999</v>
      </c>
      <c r="IF28" s="2063">
        <f>'G - Cash Flow'!K28</f>
        <v>11204.701999999999</v>
      </c>
      <c r="IG28" s="2063">
        <f>'G - Cash Flow'!L28</f>
        <v>11204.701999999999</v>
      </c>
      <c r="IH28" s="2063">
        <f>'G - Cash Flow'!M28</f>
        <v>11204.701999999999</v>
      </c>
      <c r="II28" s="2063">
        <f>'G - Cash Flow'!N28</f>
        <v>11204.701999999999</v>
      </c>
      <c r="IJ28" s="2149">
        <f>'G - Cash Flow'!O28</f>
        <v>135643.00250000003</v>
      </c>
      <c r="IK28" s="1941"/>
      <c r="JD28" s="2087">
        <f>'I - Capital RLM'!A28</f>
        <v>10</v>
      </c>
      <c r="JE28" s="2125">
        <f>'I - Capital RLM'!B28</f>
        <v>0</v>
      </c>
      <c r="JF28" s="2009">
        <f>'I - Capital RLM'!C28</f>
        <v>0</v>
      </c>
      <c r="JG28" s="2009">
        <f>'I - Capital RLM'!D28</f>
        <v>0</v>
      </c>
      <c r="JH28" s="2117">
        <f>'I - Capital RLM'!E28</f>
        <v>0</v>
      </c>
      <c r="JI28" s="2118">
        <f>'I - Capital RLM'!F28</f>
        <v>0</v>
      </c>
      <c r="JJ28" s="2009">
        <f>'I - Capital RLM'!G28</f>
        <v>0</v>
      </c>
      <c r="JK28" s="2009">
        <f>'I - Capital RLM'!H28</f>
        <v>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-4985</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57437</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8129.058</v>
      </c>
      <c r="IC29" s="2063">
        <f>'G - Cash Flow'!H29</f>
        <v>8129.058</v>
      </c>
      <c r="ID29" s="2063">
        <f>'G - Cash Flow'!I29</f>
        <v>8129.058</v>
      </c>
      <c r="IE29" s="2063">
        <f>'G - Cash Flow'!J29</f>
        <v>8129.058</v>
      </c>
      <c r="IF29" s="2063">
        <f>'G - Cash Flow'!K29</f>
        <v>8129.058</v>
      </c>
      <c r="IG29" s="2063">
        <f>'G - Cash Flow'!L29</f>
        <v>8129.058</v>
      </c>
      <c r="IH29" s="2063">
        <f>'G - Cash Flow'!M29</f>
        <v>8129.058</v>
      </c>
      <c r="II29" s="2063">
        <f>'G - Cash Flow'!N29</f>
        <v>10324.058000000001</v>
      </c>
      <c r="IJ29" s="2149">
        <f>'G - Cash Flow'!O29</f>
        <v>99454.998210000005</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2969</v>
      </c>
      <c r="LH29" s="2174">
        <f>'L - EFL'!D29</f>
        <v>3288.000520000016</v>
      </c>
      <c r="LI29" s="2175">
        <f>'L - EFL'!E29</f>
        <v>319.00052000001597</v>
      </c>
      <c r="LJ29" s="2174">
        <f>'L - EFL'!F29</f>
        <v>-2679.6080399999992</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1770.6666666666665</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38099</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2969</v>
      </c>
      <c r="IJ31" s="2149">
        <f>'G - Cash Flow'!O31</f>
        <v>2969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-2969</v>
      </c>
      <c r="LH31" s="1778">
        <f>'L - EFL'!D31</f>
        <v>-3288.000520000016</v>
      </c>
      <c r="LI31" s="1612">
        <f>'L - EFL'!E31</f>
        <v>-319.00052000001597</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-1430.9224074426691</v>
      </c>
      <c r="P32" s="1130">
        <f>'A - Movement'!D32</f>
        <v>-1430.9224074426691</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51.065034510854048</v>
      </c>
      <c r="AB32" s="1130">
        <f>'A - Movement'!O32</f>
        <v>-206.80675788783424</v>
      </c>
      <c r="AC32" s="1130">
        <f>'A - Movement'!P32</f>
        <v>31.990123633854637</v>
      </c>
      <c r="AD32" s="1130">
        <f>'A - Movement'!Q32</f>
        <v>35.012229005392328</v>
      </c>
      <c r="AE32" s="1130">
        <f>'A - Movement'!R32</f>
        <v>-226.3297680328119</v>
      </c>
      <c r="AF32" s="1130">
        <f>'A - Movement'!S32</f>
        <v>56.490123633854637</v>
      </c>
      <c r="AG32" s="1130">
        <f>'A - Movement'!T32</f>
        <v>20.519284376929818</v>
      </c>
      <c r="AH32" s="1130">
        <f>'A - Movement'!U32</f>
        <v>-216.42568025503397</v>
      </c>
      <c r="AI32" s="1130">
        <f>'A - Movement'!V32</f>
        <v>-976.43699642787442</v>
      </c>
      <c r="AJ32" s="1130">
        <f>'A - Movement'!W32</f>
        <v>-1430.9224074426691</v>
      </c>
      <c r="AK32" s="1130">
        <f t="shared" si="9"/>
        <v>-1430.9224074426691</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518.58999999999992</v>
      </c>
      <c r="BM32" s="1782">
        <f>'B - Monthly Positions'!I32</f>
        <v>518.58999999999992</v>
      </c>
      <c r="BN32" s="1782">
        <f>'B - Monthly Positions'!J32</f>
        <v>518.58999999999992</v>
      </c>
      <c r="BO32" s="1782">
        <f>'B - Monthly Positions'!K32</f>
        <v>518.58999999999992</v>
      </c>
      <c r="BP32" s="1782">
        <f>'B - Monthly Positions'!L32</f>
        <v>518.58999999999992</v>
      </c>
      <c r="BQ32" s="1782">
        <f>'B - Monthly Positions'!M32</f>
        <v>518.58999999999992</v>
      </c>
      <c r="BR32" s="1782">
        <f>'B - Monthly Positions'!N32</f>
        <v>518.58999999999992</v>
      </c>
      <c r="BS32" s="1814">
        <f>'B - Monthly Positions'!O32</f>
        <v>518.58999999999992</v>
      </c>
      <c r="BT32" s="1781">
        <f>'B - Monthly Positions'!P32</f>
        <v>2074.1610000000001</v>
      </c>
      <c r="BU32" s="1781">
        <f>'B - Monthly Positions'!Q32</f>
        <v>6222.8810000000003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1770.6666666666665</v>
      </c>
      <c r="EO32" s="75">
        <f>'C, C1, C2&amp; C3 - Savings Schemes'!Q32</f>
        <v>3174</v>
      </c>
      <c r="EP32" s="1166">
        <f>'C, C1, C2&amp; C3 - Savings Schemes'!R32</f>
        <v>0.55786599453896235</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81.974999999999994</v>
      </c>
      <c r="IC32" s="2063">
        <f>'G - Cash Flow'!H32</f>
        <v>113</v>
      </c>
      <c r="ID32" s="2063">
        <f>'G - Cash Flow'!I32</f>
        <v>43</v>
      </c>
      <c r="IE32" s="2063">
        <f>'G - Cash Flow'!J32</f>
        <v>334</v>
      </c>
      <c r="IF32" s="2063">
        <f>'G - Cash Flow'!K32</f>
        <v>335</v>
      </c>
      <c r="IG32" s="2063">
        <f>'G - Cash Flow'!L32</f>
        <v>221</v>
      </c>
      <c r="IH32" s="2063">
        <f>'G - Cash Flow'!M32</f>
        <v>222</v>
      </c>
      <c r="II32" s="2063">
        <f>'G - Cash Flow'!N32</f>
        <v>211.6</v>
      </c>
      <c r="IJ32" s="2149">
        <f>'G - Cash Flow'!O32</f>
        <v>1834.1611499999999</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26.590000000000003</v>
      </c>
      <c r="BM33" s="1782">
        <f>'B - Monthly Positions'!I33</f>
        <v>26.590000000000003</v>
      </c>
      <c r="BN33" s="1782">
        <f>'B - Monthly Positions'!J33</f>
        <v>26.590000000000003</v>
      </c>
      <c r="BO33" s="1782">
        <f>'B - Monthly Positions'!K33</f>
        <v>26.590000000000003</v>
      </c>
      <c r="BP33" s="1782">
        <f>'B - Monthly Positions'!L33</f>
        <v>26.590000000000003</v>
      </c>
      <c r="BQ33" s="1782">
        <f>'B - Monthly Positions'!M33</f>
        <v>26.590000000000003</v>
      </c>
      <c r="BR33" s="1782">
        <f>'B - Monthly Positions'!N33</f>
        <v>26.590000000000003</v>
      </c>
      <c r="BS33" s="1814">
        <f>'B - Monthly Positions'!O33</f>
        <v>26.590000000000003</v>
      </c>
      <c r="BT33" s="1781">
        <f>'B - Monthly Positions'!P33</f>
        <v>106.31</v>
      </c>
      <c r="BU33" s="1781">
        <f>'B - Monthly Positions'!Q33</f>
        <v>319.03000000000003</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152.5</v>
      </c>
      <c r="CV33" s="1768">
        <f>'B2 - Pay &amp; Agency'!H33</f>
        <v>152.5</v>
      </c>
      <c r="CW33" s="1768">
        <f>'B2 - Pay &amp; Agency'!I33</f>
        <v>152.5</v>
      </c>
      <c r="CX33" s="1768">
        <f>'B2 - Pay &amp; Agency'!J33</f>
        <v>152.5</v>
      </c>
      <c r="CY33" s="1768">
        <f>'B2 - Pay &amp; Agency'!K33</f>
        <v>152.5</v>
      </c>
      <c r="CZ33" s="1768">
        <f>'B2 - Pay &amp; Agency'!L33</f>
        <v>152.5</v>
      </c>
      <c r="DA33" s="1768">
        <f>'B2 - Pay &amp; Agency'!M33</f>
        <v>152.5</v>
      </c>
      <c r="DB33" s="1769">
        <f>'B2 - Pay &amp; Agency'!N33</f>
        <v>152.5</v>
      </c>
      <c r="DC33" s="1131">
        <f>'B2 - Pay &amp; Agency'!O33</f>
        <v>610</v>
      </c>
      <c r="DD33" s="1322">
        <f>'B2 - Pay &amp; Agency'!P33</f>
        <v>1830</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944.80103542841528</v>
      </c>
      <c r="DM33" s="1906">
        <f>'B3 - COVID-19'!H33</f>
        <v>1109.7449167049181</v>
      </c>
      <c r="DN33" s="1906">
        <f>'B3 - COVID-19'!I33</f>
        <v>1120.1594939530055</v>
      </c>
      <c r="DO33" s="1906">
        <f>'B3 - COVID-19'!J33</f>
        <v>1128.402028180328</v>
      </c>
      <c r="DP33" s="1906">
        <f>'B3 - COVID-19'!K33</f>
        <v>1416.3969939530054</v>
      </c>
      <c r="DQ33" s="1906">
        <f>'B3 - COVID-19'!L33</f>
        <v>1207.6594939530055</v>
      </c>
      <c r="DR33" s="1906">
        <f>'B3 - COVID-19'!M33</f>
        <v>1121.6455624076502</v>
      </c>
      <c r="DS33" s="1906">
        <f>'B3 - COVID-19'!N33</f>
        <v>1405.3969939530054</v>
      </c>
      <c r="DT33" s="1906">
        <f>'B3 - COVID-19'!O33</f>
        <v>3138.4199400000002</v>
      </c>
      <c r="DU33" s="1906">
        <f>'B3 - COVID-19'!P33</f>
        <v>12592.626458533334</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1513</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1430.9226374426692</v>
      </c>
      <c r="P34" s="1130">
        <f>'A - Movement'!D34</f>
        <v>1430.9226374426692</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-51.065034510854048</v>
      </c>
      <c r="AB34" s="1130">
        <f>'A - Movement'!O34</f>
        <v>206.80675788783424</v>
      </c>
      <c r="AC34" s="1130">
        <f>'A - Movement'!P34</f>
        <v>-31.990123633854637</v>
      </c>
      <c r="AD34" s="1130">
        <f>'A - Movement'!Q34</f>
        <v>-35.012229005392328</v>
      </c>
      <c r="AE34" s="1130">
        <f>'A - Movement'!R34</f>
        <v>226.3297680328119</v>
      </c>
      <c r="AF34" s="1130">
        <f>'A - Movement'!S34</f>
        <v>-56.490123633854637</v>
      </c>
      <c r="AG34" s="1130">
        <f>'A - Movement'!T34</f>
        <v>-20.519284376929818</v>
      </c>
      <c r="AH34" s="1130">
        <f>'A - Movement'!U34</f>
        <v>216.42568025503397</v>
      </c>
      <c r="AI34" s="1130">
        <f>'A - Movement'!V34</f>
        <v>976.43722642787452</v>
      </c>
      <c r="AJ34" s="1130">
        <f>'A - Movement'!W34</f>
        <v>1430.9226374426692</v>
      </c>
      <c r="AK34" s="1130">
        <f t="shared" si="9"/>
        <v>1430.9226374426692</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-979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28</v>
      </c>
      <c r="CW34" s="1776">
        <f>'B2 - Pay &amp; Agency'!I34</f>
        <v>28</v>
      </c>
      <c r="CX34" s="1776">
        <f>'B2 - Pay &amp; Agency'!J34</f>
        <v>28</v>
      </c>
      <c r="CY34" s="1776">
        <f>'B2 - Pay &amp; Agency'!K34</f>
        <v>28</v>
      </c>
      <c r="CZ34" s="1776">
        <f>'B2 - Pay &amp; Agency'!L34</f>
        <v>28</v>
      </c>
      <c r="DA34" s="1776">
        <f>'B2 - Pay &amp; Agency'!M34</f>
        <v>28</v>
      </c>
      <c r="DB34" s="1777">
        <f>'B2 - Pay &amp; Agency'!N34</f>
        <v>28</v>
      </c>
      <c r="DC34" s="1323">
        <f>'B2 - Pay &amp; Agency'!O34</f>
        <v>112</v>
      </c>
      <c r="DD34" s="1324">
        <f>'B2 - Pay &amp; Agency'!P34</f>
        <v>336</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1061.7012687617487</v>
      </c>
      <c r="DM34" s="1911">
        <f>'B3 - COVID-19'!H34</f>
        <v>1260.3725933715848</v>
      </c>
      <c r="DN34" s="1911">
        <f>'B3 - COVID-19'!I34</f>
        <v>1273.6300706196721</v>
      </c>
      <c r="DO34" s="1911">
        <f>'B3 - COVID-19'!J34</f>
        <v>1281.8726048469946</v>
      </c>
      <c r="DP34" s="1911">
        <f>'B3 - COVID-19'!K34</f>
        <v>1569.8675706196721</v>
      </c>
      <c r="DQ34" s="1911">
        <f>'B3 - COVID-19'!L34</f>
        <v>1361.1300706196721</v>
      </c>
      <c r="DR34" s="1911">
        <f>'B3 - COVID-19'!M34</f>
        <v>1272.273239074317</v>
      </c>
      <c r="DS34" s="1911">
        <f>'B3 - COVID-19'!N34</f>
        <v>1554.1644356196721</v>
      </c>
      <c r="DT34" s="1911">
        <f>'B3 - COVID-19'!O34</f>
        <v>3374.0655100000004</v>
      </c>
      <c r="DU34" s="1911">
        <f>'B3 - COVID-19'!P34</f>
        <v>14009.077363533333</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19415.734999999997</v>
      </c>
      <c r="IC34" s="2129">
        <f>'G - Cash Flow'!H34</f>
        <v>19446.759999999998</v>
      </c>
      <c r="ID34" s="2129">
        <f>'G - Cash Flow'!I34</f>
        <v>19376.759999999998</v>
      </c>
      <c r="IE34" s="2129">
        <f>'G - Cash Flow'!J34</f>
        <v>19667.759999999998</v>
      </c>
      <c r="IF34" s="2129">
        <f>'G - Cash Flow'!K34</f>
        <v>19668.759999999998</v>
      </c>
      <c r="IG34" s="2129">
        <f>'G - Cash Flow'!L34</f>
        <v>19554.759999999998</v>
      </c>
      <c r="IH34" s="2129">
        <f>'G - Cash Flow'!M34</f>
        <v>19555.759999999998</v>
      </c>
      <c r="II34" s="2129">
        <f>'G - Cash Flow'!N34</f>
        <v>24709.360000000001</v>
      </c>
      <c r="IJ34" s="2129">
        <f>'G - Cash Flow'!O34</f>
        <v>239901.16186000005</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0.75</v>
      </c>
      <c r="CV35" s="1776">
        <f>'B2 - Pay &amp; Agency'!H35</f>
        <v>0.75</v>
      </c>
      <c r="CW35" s="1776">
        <f>'B2 - Pay &amp; Agency'!I35</f>
        <v>0.75</v>
      </c>
      <c r="CX35" s="1776">
        <f>'B2 - Pay &amp; Agency'!J35</f>
        <v>0.75</v>
      </c>
      <c r="CY35" s="1776">
        <f>'B2 - Pay &amp; Agency'!K35</f>
        <v>0.75</v>
      </c>
      <c r="CZ35" s="1776">
        <f>'B2 - Pay &amp; Agency'!L35</f>
        <v>0.75</v>
      </c>
      <c r="DA35" s="1776">
        <f>'B2 - Pay &amp; Agency'!M35</f>
        <v>0.75</v>
      </c>
      <c r="DB35" s="1777">
        <f>'B2 - Pay &amp; Agency'!N35</f>
        <v>0.75</v>
      </c>
      <c r="DC35" s="1323">
        <f>'B2 - Pay &amp; Agency'!O35</f>
        <v>3</v>
      </c>
      <c r="DD35" s="1324">
        <f>'B2 - Pay &amp; Agency'!P35</f>
        <v>9</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6274</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0</v>
      </c>
      <c r="AB36" s="953">
        <f>'A - Movement'!O36</f>
        <v>0</v>
      </c>
      <c r="AC36" s="953">
        <f>'A - Movement'!P36</f>
        <v>0</v>
      </c>
      <c r="AD36" s="953">
        <f>'A - Movement'!Q36</f>
        <v>0</v>
      </c>
      <c r="AE36" s="953">
        <f>'A - Movement'!R36</f>
        <v>0</v>
      </c>
      <c r="AF36" s="953">
        <f>'A - Movement'!S36</f>
        <v>0</v>
      </c>
      <c r="AG36" s="953">
        <f>'A - Movement'!T36</f>
        <v>0</v>
      </c>
      <c r="AH36" s="953">
        <f>'A - Movement'!U36</f>
        <v>-157</v>
      </c>
      <c r="AI36" s="1130">
        <f>'A - Movement'!V36</f>
        <v>157</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19352.309268761746</v>
      </c>
      <c r="BM36" s="1109">
        <f>'B - Monthly Positions'!I36</f>
        <v>19485.980593371583</v>
      </c>
      <c r="BN36" s="1109">
        <f>'B - Monthly Positions'!J36</f>
        <v>20078.738070619671</v>
      </c>
      <c r="BO36" s="1109">
        <f>'B - Monthly Positions'!K36</f>
        <v>19804.980604846995</v>
      </c>
      <c r="BP36" s="1109">
        <f>'B - Monthly Positions'!L36</f>
        <v>20184.975570619674</v>
      </c>
      <c r="BQ36" s="1109">
        <f>'B - Monthly Positions'!M36</f>
        <v>19874.238070619671</v>
      </c>
      <c r="BR36" s="1109">
        <f>'B - Monthly Positions'!N36</f>
        <v>19848.242239074316</v>
      </c>
      <c r="BS36" s="1109">
        <f>'B - Monthly Positions'!O36</f>
        <v>24437.138495619671</v>
      </c>
      <c r="BT36" s="1109">
        <f>'B - Monthly Positions'!P36</f>
        <v>76378</v>
      </c>
      <c r="BU36" s="1109">
        <f>'B - Monthly Positions'!Q36</f>
        <v>239444.60291353331</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4361.8313618824204</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1770.6666666666667</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944.80425000000105</v>
      </c>
      <c r="IC36" s="2054">
        <f>'G - Cash Flow'!H36</f>
        <v>913.77924999999959</v>
      </c>
      <c r="ID36" s="2054">
        <f>'G - Cash Flow'!I36</f>
        <v>983.77924999999959</v>
      </c>
      <c r="IE36" s="2054">
        <f>'G - Cash Flow'!J36</f>
        <v>692.77924999999959</v>
      </c>
      <c r="IF36" s="2054">
        <f>'G - Cash Flow'!K36</f>
        <v>691.77924999999959</v>
      </c>
      <c r="IG36" s="2054">
        <f>'G - Cash Flow'!L36</f>
        <v>805.77924999999959</v>
      </c>
      <c r="IH36" s="2054">
        <f>'G - Cash Flow'!M36</f>
        <v>804.77924999999959</v>
      </c>
      <c r="II36" s="2054">
        <f>'G - Cash Flow'!N36</f>
        <v>-4325.2537500000035</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-2969</v>
      </c>
      <c r="LH36" s="1603">
        <f>'L - EFL'!D36</f>
        <v>-3288.000520000016</v>
      </c>
      <c r="LI36" s="2228">
        <f>'L - EFL'!E36</f>
        <v>-319.00052000001597</v>
      </c>
      <c r="LJ36" s="1603">
        <f>'L - EFL'!F36</f>
        <v>1513</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-8.7999999996100087E-2</v>
      </c>
      <c r="BM37" s="1131">
        <f>'B - Monthly Positions'!I37</f>
        <v>0.38300000000162981</v>
      </c>
      <c r="BN37" s="1131">
        <f>'B - Monthly Positions'!J37</f>
        <v>8.2000000002153683E-2</v>
      </c>
      <c r="BO37" s="1131">
        <f>'B - Monthly Positions'!K37</f>
        <v>8.000000000174623E-2</v>
      </c>
      <c r="BP37" s="1131">
        <f>'B - Monthly Positions'!L37</f>
        <v>8.6999999999534339E-2</v>
      </c>
      <c r="BQ37" s="1131">
        <f>'B - Monthly Positions'!M37</f>
        <v>9.4000000000960426E-2</v>
      </c>
      <c r="BR37" s="1131">
        <f>'B - Monthly Positions'!N37</f>
        <v>-6.5999999998894054E-2</v>
      </c>
      <c r="BS37" s="1109">
        <f>'B - Monthly Positions'!O37</f>
        <v>-157.92099999999846</v>
      </c>
      <c r="BT37" s="1131">
        <f>'B - Monthly Positions'!P37</f>
        <v>157</v>
      </c>
      <c r="BU37" s="1131">
        <f>'B - Monthly Positions'!Q37</f>
        <v>-0.34899999998742715</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25.5</v>
      </c>
      <c r="CV37" s="1776">
        <f>'B2 - Pay &amp; Agency'!H37</f>
        <v>25.5</v>
      </c>
      <c r="CW37" s="1776">
        <f>'B2 - Pay &amp; Agency'!I37</f>
        <v>25.5</v>
      </c>
      <c r="CX37" s="1776">
        <f>'B2 - Pay &amp; Agency'!J37</f>
        <v>25.5</v>
      </c>
      <c r="CY37" s="1776">
        <f>'B2 - Pay &amp; Agency'!K37</f>
        <v>25.5</v>
      </c>
      <c r="CZ37" s="1776">
        <f>'B2 - Pay &amp; Agency'!L37</f>
        <v>25.5</v>
      </c>
      <c r="DA37" s="1776">
        <f>'B2 - Pay &amp; Agency'!M37</f>
        <v>25.5</v>
      </c>
      <c r="DB37" s="1777">
        <f>'B2 - Pay &amp; Agency'!N37</f>
        <v>25.5</v>
      </c>
      <c r="DC37" s="1323">
        <f>'B2 - Pay &amp; Agency'!O37</f>
        <v>102</v>
      </c>
      <c r="DD37" s="1324">
        <f>'B2 - Pay &amp; Agency'!P37</f>
        <v>306</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-45.984219359339022</v>
      </c>
      <c r="DM37" s="2778">
        <f>'B3 - COVID-19'!H37</f>
        <v>211.88757303934926</v>
      </c>
      <c r="DN37" s="2778">
        <f>'B3 - COVID-19'!I37</f>
        <v>-1.9093084823396111</v>
      </c>
      <c r="DO37" s="2778">
        <f>'B3 - COVID-19'!J37</f>
        <v>-4.9314138538773022</v>
      </c>
      <c r="DP37" s="2778">
        <f>'B3 - COVID-19'!K37</f>
        <v>231.41058318432692</v>
      </c>
      <c r="DQ37" s="2778">
        <f>'B3 - COVID-19'!L37</f>
        <v>-51.409308482339611</v>
      </c>
      <c r="DR37" s="2778">
        <f>'B3 - COVID-19'!M37</f>
        <v>-66.42857422541465</v>
      </c>
      <c r="DS37" s="2778">
        <f>'B3 - COVID-19'!N37</f>
        <v>170.52145040654909</v>
      </c>
      <c r="DT37" s="2778">
        <f>'B3 - COVID-19'!O37</f>
        <v>987.76585188242007</v>
      </c>
      <c r="DU37" s="2778">
        <f>'B3 - COVID-19'!P37</f>
        <v>1430.9226341093363</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1770.6666666666667</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15001.397229999995</v>
      </c>
      <c r="ID37" s="2237">
        <f>'G - Cash Flow'!I37</f>
        <v>15915.176479999995</v>
      </c>
      <c r="IE37" s="2237">
        <f>'G - Cash Flow'!J37</f>
        <v>16898.955729999994</v>
      </c>
      <c r="IF37" s="2237">
        <f>'G - Cash Flow'!K37</f>
        <v>17591.734979999994</v>
      </c>
      <c r="IG37" s="2237">
        <f>'G - Cash Flow'!L37</f>
        <v>18283.514229999993</v>
      </c>
      <c r="IH37" s="2237">
        <f>'G - Cash Flow'!M37</f>
        <v>19089.293479999993</v>
      </c>
      <c r="II37" s="2237">
        <f>'G - Cash Flow'!N37</f>
        <v>19894.072729999993</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v>
      </c>
      <c r="CV38" s="1776">
        <f>'B2 - Pay &amp; Agency'!H38</f>
        <v>-1</v>
      </c>
      <c r="CW38" s="1776">
        <f>'B2 - Pay &amp; Agency'!I38</f>
        <v>-1</v>
      </c>
      <c r="CX38" s="1776">
        <f>'B2 - Pay &amp; Agency'!J38</f>
        <v>-1</v>
      </c>
      <c r="CY38" s="1776">
        <f>'B2 - Pay &amp; Agency'!K38</f>
        <v>-1</v>
      </c>
      <c r="CZ38" s="1776">
        <f>'B2 - Pay &amp; Agency'!L38</f>
        <v>-1</v>
      </c>
      <c r="DA38" s="1776">
        <f>'B2 - Pay &amp; Agency'!M38</f>
        <v>-1</v>
      </c>
      <c r="DB38" s="1777">
        <f>'B2 - Pay &amp; Agency'!N38</f>
        <v>-1</v>
      </c>
      <c r="DC38" s="1323">
        <f>'B2 - Pay &amp; Agency'!O38</f>
        <v>-3</v>
      </c>
      <c r="DD38" s="1324">
        <f>'B2 - Pay &amp; Agency'!P38</f>
        <v>-11</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8202</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15001.397229999995</v>
      </c>
      <c r="IC38" s="2054">
        <f>'G - Cash Flow'!H38</f>
        <v>15915.176479999995</v>
      </c>
      <c r="ID38" s="2054">
        <f>'G - Cash Flow'!I38</f>
        <v>16898.955729999994</v>
      </c>
      <c r="IE38" s="2054">
        <f>'G - Cash Flow'!J38</f>
        <v>17591.734979999994</v>
      </c>
      <c r="IF38" s="2054">
        <f>'G - Cash Flow'!K38</f>
        <v>18283.514229999993</v>
      </c>
      <c r="IG38" s="2054">
        <f>'G - Cash Flow'!L38</f>
        <v>19089.293479999993</v>
      </c>
      <c r="IH38" s="2054">
        <f>'G - Cash Flow'!M38</f>
        <v>19894.072729999993</v>
      </c>
      <c r="II38" s="2054">
        <f>'G - Cash Flow'!N38</f>
        <v>15568.818979999989</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82</v>
      </c>
      <c r="CV39" s="1776">
        <f>'B2 - Pay &amp; Agency'!H39</f>
        <v>82</v>
      </c>
      <c r="CW39" s="1776">
        <f>'B2 - Pay &amp; Agency'!I39</f>
        <v>82</v>
      </c>
      <c r="CX39" s="1776">
        <f>'B2 - Pay &amp; Agency'!J39</f>
        <v>82</v>
      </c>
      <c r="CY39" s="1776">
        <f>'B2 - Pay &amp; Agency'!K39</f>
        <v>82</v>
      </c>
      <c r="CZ39" s="1776">
        <f>'B2 - Pay &amp; Agency'!L39</f>
        <v>82</v>
      </c>
      <c r="DA39" s="1776">
        <f>'B2 - Pay &amp; Agency'!M39</f>
        <v>82</v>
      </c>
      <c r="DB39" s="1777">
        <f>'B2 - Pay &amp; Agency'!N39</f>
        <v>82</v>
      </c>
      <c r="DC39" s="1323">
        <f>'B2 - Pay &amp; Agency'!O39</f>
        <v>328</v>
      </c>
      <c r="DD39" s="1324">
        <f>'B2 - Pay &amp; Agency'!P39</f>
        <v>984</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1.75</v>
      </c>
      <c r="CV40" s="1776">
        <f>'B2 - Pay &amp; Agency'!H40</f>
        <v>1.75</v>
      </c>
      <c r="CW40" s="1776">
        <f>'B2 - Pay &amp; Agency'!I40</f>
        <v>1.75</v>
      </c>
      <c r="CX40" s="1776">
        <f>'B2 - Pay &amp; Agency'!J40</f>
        <v>1.75</v>
      </c>
      <c r="CY40" s="1776">
        <f>'B2 - Pay &amp; Agency'!K40</f>
        <v>1.75</v>
      </c>
      <c r="CZ40" s="1776">
        <f>'B2 - Pay &amp; Agency'!L40</f>
        <v>1.75</v>
      </c>
      <c r="DA40" s="1776">
        <f>'B2 - Pay &amp; Agency'!M40</f>
        <v>1.75</v>
      </c>
      <c r="DB40" s="1777">
        <f>'B2 - Pay &amp; Agency'!N40</f>
        <v>1.75</v>
      </c>
      <c r="DC40" s="1323">
        <f>'B2 - Pay &amp; Agency'!O40</f>
        <v>7</v>
      </c>
      <c r="DD40" s="1324">
        <f>'B2 - Pay &amp; Agency'!P40</f>
        <v>21</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29897</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4361.8311318824199</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289.5</v>
      </c>
      <c r="CV42" s="1341">
        <f>'B2 - Pay &amp; Agency'!H42</f>
        <v>289.5</v>
      </c>
      <c r="CW42" s="1341">
        <f>'B2 - Pay &amp; Agency'!I42</f>
        <v>289.5</v>
      </c>
      <c r="CX42" s="1341">
        <f>'B2 - Pay &amp; Agency'!J42</f>
        <v>289.5</v>
      </c>
      <c r="CY42" s="1341">
        <f>'B2 - Pay &amp; Agency'!K42</f>
        <v>289.5</v>
      </c>
      <c r="CZ42" s="1341">
        <f>'B2 - Pay &amp; Agency'!L42</f>
        <v>289.5</v>
      </c>
      <c r="DA42" s="1341">
        <f>'B2 - Pay &amp; Agency'!M42</f>
        <v>289.5</v>
      </c>
      <c r="DB42" s="1342">
        <f>'B2 - Pay &amp; Agency'!N42</f>
        <v>289.5</v>
      </c>
      <c r="DC42" s="1343">
        <f>'B2 - Pay &amp; Agency'!O42</f>
        <v>1159</v>
      </c>
      <c r="DD42" s="1344">
        <f>'B2 - Pay &amp; Agency'!P42</f>
        <v>3475</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1061.7012687617487</v>
      </c>
      <c r="DM42" s="1325">
        <f>'B3 - COVID-19'!H42</f>
        <v>1260.3725933715848</v>
      </c>
      <c r="DN42" s="1325">
        <f>'B3 - COVID-19'!I42</f>
        <v>1273.6300706196721</v>
      </c>
      <c r="DO42" s="1325">
        <f>'B3 - COVID-19'!J42</f>
        <v>1281.8726048469946</v>
      </c>
      <c r="DP42" s="1325">
        <f>'B3 - COVID-19'!K42</f>
        <v>1569.8675706196721</v>
      </c>
      <c r="DQ42" s="1325">
        <f>'B3 - COVID-19'!L42</f>
        <v>1361.1300706196721</v>
      </c>
      <c r="DR42" s="1325">
        <f>'B3 - COVID-19'!M42</f>
        <v>1272.273239074317</v>
      </c>
      <c r="DS42" s="2727">
        <f>'B3 - COVID-19'!N42</f>
        <v>1554.1644356196721</v>
      </c>
      <c r="DT42" s="2801">
        <f>'B3 - COVID-19'!O42</f>
        <v>3374.0655100000004</v>
      </c>
      <c r="DU42" s="2802">
        <f>'B3 - COVID-19'!P42</f>
        <v>14009.077363533333</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1770.6666666666667</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1770.6666666666667</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2.6526700412885271E-2</v>
      </c>
      <c r="CV44" s="1353">
        <f>'B2 - Pay &amp; Agency'!H44</f>
        <v>2.6334318347311255E-2</v>
      </c>
      <c r="CW44" s="1353">
        <f>'B2 - Pay &amp; Agency'!I44</f>
        <v>2.6085540118241705E-2</v>
      </c>
      <c r="CX44" s="1353">
        <f>'B2 - Pay &amp; Agency'!J44</f>
        <v>2.6062056773594675E-2</v>
      </c>
      <c r="CY44" s="1353">
        <f>'B2 - Pay &amp; Agency'!K44</f>
        <v>2.6050330949688255E-2</v>
      </c>
      <c r="CZ44" s="1353">
        <f>'B2 - Pay &amp; Agency'!L44</f>
        <v>2.6062056773594675E-2</v>
      </c>
      <c r="DA44" s="1353">
        <f>'B2 - Pay &amp; Agency'!M44</f>
        <v>2.6080470946868415E-2</v>
      </c>
      <c r="DB44" s="1353">
        <f>'B2 - Pay &amp; Agency'!N44</f>
        <v>2.5258695630793068E-2</v>
      </c>
      <c r="DC44" s="1353">
        <f>'B2 - Pay &amp; Agency'!O44</f>
        <v>2.4793034847155969E-2</v>
      </c>
      <c r="DD44" s="1354">
        <f>'B2 - Pay &amp; Agency'!P44</f>
        <v>2.5618745917027799E-2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1061.7012687617487</v>
      </c>
      <c r="DM44" s="2797">
        <f>'B3 - COVID-19'!H44</f>
        <v>1260.3725933715848</v>
      </c>
      <c r="DN44" s="2797">
        <f>'B3 - COVID-19'!I44</f>
        <v>1273.6300706196721</v>
      </c>
      <c r="DO44" s="2797">
        <f>'B3 - COVID-19'!J44</f>
        <v>1281.8726048469946</v>
      </c>
      <c r="DP44" s="2797">
        <f>'B3 - COVID-19'!K44</f>
        <v>1569.8675706196721</v>
      </c>
      <c r="DQ44" s="2797">
        <f>'B3 - COVID-19'!L44</f>
        <v>1361.1300706196721</v>
      </c>
      <c r="DR44" s="2797">
        <f>'B3 - COVID-19'!M44</f>
        <v>1272.273239074317</v>
      </c>
      <c r="DS44" s="2802">
        <f>'B3 - COVID-19'!N44</f>
        <v>1554.1644356196721</v>
      </c>
      <c r="DT44" s="2801">
        <f>'B3 - COVID-19'!O44</f>
        <v>3374.0655100000004</v>
      </c>
      <c r="DU44" s="2802">
        <f>'B3 - COVID-19'!P44</f>
        <v>14009.077363533333</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Jul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4.0000015815166989E-5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45.984219359339022</v>
      </c>
      <c r="DM45" s="2804">
        <f>'B3 - COVID-19'!H45</f>
        <v>-211.88757303934926</v>
      </c>
      <c r="DN45" s="2804">
        <f>'B3 - COVID-19'!I45</f>
        <v>1.9093084823396111</v>
      </c>
      <c r="DO45" s="2804">
        <f>'B3 - COVID-19'!J45</f>
        <v>4.9314138538773022</v>
      </c>
      <c r="DP45" s="2804">
        <f>'B3 - COVID-19'!K45</f>
        <v>-231.41058318432692</v>
      </c>
      <c r="DQ45" s="2804">
        <f>'B3 - COVID-19'!L45</f>
        <v>51.409308482339611</v>
      </c>
      <c r="DR45" s="2804">
        <f>'B3 - COVID-19'!M45</f>
        <v>66.42857422541465</v>
      </c>
      <c r="DS45" s="2805">
        <f>'B3 - COVID-19'!N45</f>
        <v>-170.52145040654909</v>
      </c>
      <c r="DT45" s="2803">
        <f>'B3 - COVID-19'!O45</f>
        <v>-987.76562188241951</v>
      </c>
      <c r="DU45" s="2805">
        <f>'B3 - COVID-19'!P45</f>
        <v>-1430.9224041093348</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576</v>
      </c>
      <c r="JU45" s="2036">
        <f>'J - Capital In Year Schemes'!E45</f>
        <v>576</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5</v>
      </c>
      <c r="KB45" s="2036">
        <f>'J - Capital In Year Schemes'!L45</f>
        <v>149</v>
      </c>
      <c r="KC45" s="2036">
        <f>'J - Capital In Year Schemes'!M45</f>
        <v>149</v>
      </c>
      <c r="KD45" s="2036">
        <f>'J - Capital In Year Schemes'!N45</f>
        <v>150</v>
      </c>
      <c r="KE45" s="2036">
        <f>'J - Capital In Year Schemes'!O45</f>
        <v>36</v>
      </c>
      <c r="KF45" s="2036">
        <f>'J - Capital In Year Schemes'!P45</f>
        <v>37</v>
      </c>
      <c r="KG45" s="2036">
        <f>'J - Capital In Year Schemes'!Q45</f>
        <v>31</v>
      </c>
      <c r="KH45" s="2036">
        <f>'J - Capital In Year Schemes'!R45</f>
        <v>15.667100000000001</v>
      </c>
      <c r="KI45" s="2036">
        <f>'J - Capital In Year Schemes'!S45</f>
        <v>575.64210000000003</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4.0000015815166989E-5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4072</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4180</v>
      </c>
      <c r="HH48" s="199">
        <f>'E1 - Invoiced Income'!O48</f>
        <v>2075</v>
      </c>
      <c r="HI48" s="199">
        <f>'E1 - Invoiced Income'!P48</f>
        <v>209651.4459135333</v>
      </c>
      <c r="HJ48" s="199">
        <f>'E1 - Invoiced Income'!R48</f>
        <v>190</v>
      </c>
      <c r="HK48" s="199">
        <f>'E1 - Invoiced Income'!S48</f>
        <v>0</v>
      </c>
      <c r="HL48" s="199">
        <f>'E1 - Invoiced Income'!T48</f>
        <v>242226.4459135333</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501.13634000000002</v>
      </c>
      <c r="JU48" s="2009">
        <f>'J - Capital In Year Schemes'!E48</f>
        <v>501.13634000000002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62</v>
      </c>
      <c r="KA48" s="2009">
        <f>'J - Capital In Year Schemes'!K48</f>
        <v>62</v>
      </c>
      <c r="KB48" s="2009">
        <f>'J - Capital In Year Schemes'!L48</f>
        <v>62</v>
      </c>
      <c r="KC48" s="2009">
        <f>'J - Capital In Year Schemes'!M48</f>
        <v>62</v>
      </c>
      <c r="KD48" s="2009">
        <f>'J - Capital In Year Schemes'!N48</f>
        <v>62</v>
      </c>
      <c r="KE48" s="2009">
        <f>'J - Capital In Year Schemes'!O48</f>
        <v>62</v>
      </c>
      <c r="KF48" s="2009">
        <f>'J - Capital In Year Schemes'!P48</f>
        <v>62</v>
      </c>
      <c r="KG48" s="2009">
        <f>'J - Capital In Year Schemes'!Q48</f>
        <v>61.6</v>
      </c>
      <c r="KH48" s="2089">
        <f>'J - Capital In Year Schemes'!R48</f>
        <v>5.6403499999999998</v>
      </c>
      <c r="KI48" s="2089">
        <f>'J - Capital In Year Schemes'!S48</f>
        <v>501.24035000000003</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-978.99995999998418</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810</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29897</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127.13217999999999</v>
      </c>
      <c r="JU49" s="2009">
        <f>'J - Capital In Year Schemes'!E49</f>
        <v>127.13217999999999</v>
      </c>
      <c r="JV49" s="2009">
        <f>'J - Capital In Year Schemes'!F49</f>
        <v>0</v>
      </c>
      <c r="JW49" s="2009">
        <f>'J - Capital In Year Schemes'!G49</f>
        <v>0</v>
      </c>
      <c r="JX49" s="2009">
        <f>'J - Capital In Year Schemes'!H49</f>
        <v>0</v>
      </c>
      <c r="JY49" s="2009">
        <f>'J - Capital In Year Schemes'!I49</f>
        <v>0</v>
      </c>
      <c r="JZ49" s="2009">
        <f>'J - Capital In Year Schemes'!J49</f>
        <v>16</v>
      </c>
      <c r="KA49" s="2009">
        <f>'J - Capital In Year Schemes'!K49</f>
        <v>16</v>
      </c>
      <c r="KB49" s="2009">
        <f>'J - Capital In Year Schemes'!L49</f>
        <v>16</v>
      </c>
      <c r="KC49" s="2009">
        <f>'J - Capital In Year Schemes'!M49</f>
        <v>16</v>
      </c>
      <c r="KD49" s="2009">
        <f>'J - Capital In Year Schemes'!N49</f>
        <v>16</v>
      </c>
      <c r="KE49" s="2009">
        <f>'J - Capital In Year Schemes'!O49</f>
        <v>16</v>
      </c>
      <c r="KF49" s="2009">
        <f>'J - Capital In Year Schemes'!P49</f>
        <v>16</v>
      </c>
      <c r="KG49" s="2009">
        <f>'J - Capital In Year Schemes'!Q49</f>
        <v>15</v>
      </c>
      <c r="KH49" s="2089">
        <f>'J - Capital In Year Schemes'!R49</f>
        <v>0</v>
      </c>
      <c r="KI49" s="2089">
        <f>'J - Capital In Year Schemes'!S49</f>
        <v>127</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4.0000015815166989E-5</v>
      </c>
      <c r="P50" s="950">
        <f>'A - Movement'!D50</f>
        <v>4.0000015815166989E-5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3.694822225952521E-13</v>
      </c>
      <c r="AB50" s="950">
        <f>'A - Movement'!O50</f>
        <v>-8.5265128291212022E-14</v>
      </c>
      <c r="AC50" s="950">
        <f>'A - Movement'!P50</f>
        <v>-8.5265128291212022E-14</v>
      </c>
      <c r="AD50" s="950">
        <f>'A - Movement'!Q50</f>
        <v>5.9685589803848416E-13</v>
      </c>
      <c r="AE50" s="950">
        <f>'A - Movement'!R50</f>
        <v>1.4210854715202004E-13</v>
      </c>
      <c r="AF50" s="950">
        <f>'A - Movement'!S50</f>
        <v>-8.5265128291212022E-14</v>
      </c>
      <c r="AG50" s="950">
        <f>'A - Movement'!T50</f>
        <v>1.4210854715202004E-13</v>
      </c>
      <c r="AH50" s="950">
        <f>'A - Movement'!U50</f>
        <v>-157.00000000000031</v>
      </c>
      <c r="AI50" s="950">
        <f>'A - Movement'!V50</f>
        <v>157.00004000000052</v>
      </c>
      <c r="AJ50" s="950">
        <f>'A - Movement'!W50</f>
        <v>4.0000001206408342E-5</v>
      </c>
      <c r="AK50" s="950">
        <f t="shared" si="12"/>
        <v>4.0000015815166989E-5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810</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4.0000015815166989E-5</v>
      </c>
      <c r="BC51" s="1154">
        <f>'A2 - Risks'!D51</f>
        <v>0</v>
      </c>
      <c r="BE51" s="2232">
        <f>'B - Monthly Positions'!A51</f>
        <v>36</v>
      </c>
      <c r="BF51" s="1372" t="str">
        <f>'B - Monthly Positions'!B51</f>
        <v>Specialised Services</v>
      </c>
      <c r="BG51" s="93" t="str">
        <f>'B - Monthly Positions'!C51</f>
        <v>Actual/F'cast</v>
      </c>
      <c r="BH51" s="3004">
        <f>'B - Monthly Positions'!D51</f>
        <v>217179.69191353332</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227.19800000000001</v>
      </c>
      <c r="JU51" s="2009">
        <f>'J - Capital In Year Schemes'!E51</f>
        <v>227.19800000000001</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30</v>
      </c>
      <c r="KB51" s="2009">
        <f>'J - Capital In Year Schemes'!L51</f>
        <v>31</v>
      </c>
      <c r="KC51" s="2009">
        <f>'J - Capital In Year Schemes'!M51</f>
        <v>31</v>
      </c>
      <c r="KD51" s="2009">
        <f>'J - Capital In Year Schemes'!N51</f>
        <v>31</v>
      </c>
      <c r="KE51" s="2009">
        <f>'J - Capital In Year Schemes'!O51</f>
        <v>31</v>
      </c>
      <c r="KF51" s="2009">
        <f>'J - Capital In Year Schemes'!P51</f>
        <v>31</v>
      </c>
      <c r="KG51" s="2009">
        <f>'J - Capital In Year Schemes'!Q51</f>
        <v>30</v>
      </c>
      <c r="KH51" s="2089">
        <f>'J - Capital In Year Schemes'!R51</f>
        <v>11.16</v>
      </c>
      <c r="KI51" s="2089">
        <f>'J - Capital In Year Schemes'!S51</f>
        <v>227.16</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2418</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282.75</v>
      </c>
      <c r="CV52" s="1768">
        <f>'B2 - Pay &amp; Agency'!H52</f>
        <v>282.75</v>
      </c>
      <c r="CW52" s="1768">
        <f>'B2 - Pay &amp; Agency'!I52</f>
        <v>282.75</v>
      </c>
      <c r="CX52" s="1768">
        <f>'B2 - Pay &amp; Agency'!J52</f>
        <v>282.75</v>
      </c>
      <c r="CY52" s="1768">
        <f>'B2 - Pay &amp; Agency'!K52</f>
        <v>282.75</v>
      </c>
      <c r="CZ52" s="1768">
        <f>'B2 - Pay &amp; Agency'!L52</f>
        <v>282.75</v>
      </c>
      <c r="DA52" s="1768">
        <f>'B2 - Pay &amp; Agency'!M52</f>
        <v>282.75</v>
      </c>
      <c r="DB52" s="1769">
        <f>'B2 - Pay &amp; Agency'!N52</f>
        <v>282.75</v>
      </c>
      <c r="DC52" s="1131">
        <f>'B2 - Pay &amp; Agency'!O52</f>
        <v>1131</v>
      </c>
      <c r="DD52" s="1322">
        <f>'B2 - Pay &amp; Agency'!P52</f>
        <v>3393</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377.53300000000002</v>
      </c>
      <c r="JU52" s="2051">
        <f>'J - Capital In Year Schemes'!E52</f>
        <v>377.53300000000002</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76</v>
      </c>
      <c r="KD52" s="2051">
        <f>'J - Capital In Year Schemes'!N52</f>
        <v>76</v>
      </c>
      <c r="KE52" s="2051">
        <f>'J - Capital In Year Schemes'!O52</f>
        <v>76</v>
      </c>
      <c r="KF52" s="2051">
        <f>'J - Capital In Year Schemes'!P52</f>
        <v>76</v>
      </c>
      <c r="KG52" s="2051">
        <f>'J - Capital In Year Schemes'!Q52</f>
        <v>74</v>
      </c>
      <c r="KH52" s="2074">
        <f>'J - Capital In Year Schemes'!R52</f>
        <v>-0.21941000000000002</v>
      </c>
      <c r="KI52" s="2074">
        <f>'J - Capital In Year Schemes'!S52</f>
        <v>377.78059000000002</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13305</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7</v>
      </c>
      <c r="CV53" s="1776">
        <f>'B2 - Pay &amp; Agency'!H53</f>
        <v>7</v>
      </c>
      <c r="CW53" s="1776">
        <f>'B2 - Pay &amp; Agency'!I53</f>
        <v>7</v>
      </c>
      <c r="CX53" s="1776">
        <f>'B2 - Pay &amp; Agency'!J53</f>
        <v>7</v>
      </c>
      <c r="CY53" s="1776">
        <f>'B2 - Pay &amp; Agency'!K53</f>
        <v>7</v>
      </c>
      <c r="CZ53" s="1776">
        <f>'B2 - Pay &amp; Agency'!L53</f>
        <v>7</v>
      </c>
      <c r="DA53" s="1776">
        <f>'B2 - Pay &amp; Agency'!M53</f>
        <v>7</v>
      </c>
      <c r="DB53" s="1777">
        <f>'B2 - Pay &amp; Agency'!N53</f>
        <v>7</v>
      </c>
      <c r="DC53" s="1323">
        <f>'B2 - Pay &amp; Agency'!O53</f>
        <v>28</v>
      </c>
      <c r="DD53" s="1324">
        <f>'B2 - Pay &amp; Agency'!P53</f>
        <v>84</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61.801583333333333</v>
      </c>
      <c r="DM53" s="1902">
        <f>'B3 - COVID-19'!H53</f>
        <v>61.801583333333333</v>
      </c>
      <c r="DN53" s="1902">
        <f>'B3 - COVID-19'!I53</f>
        <v>61.801583333333333</v>
      </c>
      <c r="DO53" s="1902">
        <f>'B3 - COVID-19'!J53</f>
        <v>61.801583333333333</v>
      </c>
      <c r="DP53" s="1902">
        <f>'B3 - COVID-19'!K53</f>
        <v>61.801583333333333</v>
      </c>
      <c r="DQ53" s="1902">
        <f>'B3 - COVID-19'!L53</f>
        <v>61.801583333333333</v>
      </c>
      <c r="DR53" s="1902">
        <f>'B3 - COVID-19'!M53</f>
        <v>61.801583333333333</v>
      </c>
      <c r="DS53" s="1902">
        <f>'B3 - COVID-19'!N53</f>
        <v>61.801583333333333</v>
      </c>
      <c r="DT53" s="1862">
        <f>'B3 - COVID-19'!O53</f>
        <v>197.08928</v>
      </c>
      <c r="DU53" s="1862">
        <f>'B3 - COVID-19'!P53</f>
        <v>691.50194666666675</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2633.3470000000002</v>
      </c>
      <c r="GW53" s="2525">
        <f>'E1 - Invoiced Income'!D53</f>
        <v>11375.73</v>
      </c>
      <c r="GX53" s="2528">
        <f>'E1 - Invoiced Income'!E53</f>
        <v>14009.076999999999</v>
      </c>
      <c r="GY53" s="2525">
        <f>'E1 - Invoiced Income'!F53</f>
        <v>0</v>
      </c>
      <c r="GZ53" s="2525" t="str">
        <f>'E1 - Invoiced Income'!G53</f>
        <v>Entered in P01 - Invoice raised for P01 - P03</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1232.9995199999998</v>
      </c>
      <c r="JU53" s="2036">
        <f>'J - Capital In Year Schemes'!E53</f>
        <v>1232.9995199999998</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79</v>
      </c>
      <c r="KA53" s="2036">
        <f>'J - Capital In Year Schemes'!K53</f>
        <v>108</v>
      </c>
      <c r="KB53" s="2036">
        <f>'J - Capital In Year Schemes'!L53</f>
        <v>109</v>
      </c>
      <c r="KC53" s="2036">
        <f>'J - Capital In Year Schemes'!M53</f>
        <v>185</v>
      </c>
      <c r="KD53" s="2036">
        <f>'J - Capital In Year Schemes'!N53</f>
        <v>185</v>
      </c>
      <c r="KE53" s="2036">
        <f>'J - Capital In Year Schemes'!O53</f>
        <v>185</v>
      </c>
      <c r="KF53" s="2036">
        <f>'J - Capital In Year Schemes'!P53</f>
        <v>185</v>
      </c>
      <c r="KG53" s="2036">
        <f>'J - Capital In Year Schemes'!Q53</f>
        <v>180.6</v>
      </c>
      <c r="KH53" s="2036">
        <f>'J - Capital In Year Schemes'!R53</f>
        <v>16.580940000000002</v>
      </c>
      <c r="KI53" s="2036">
        <f>'J - Capital In Year Schemes'!S53</f>
        <v>1233.18094</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1.5802470443304628E-11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3.694822225952521E-13</v>
      </c>
      <c r="AB54" s="950">
        <f>'A - Movement'!O54</f>
        <v>-8.5265128291212022E-14</v>
      </c>
      <c r="AC54" s="950">
        <f>'A - Movement'!P54</f>
        <v>-8.5265128291212022E-14</v>
      </c>
      <c r="AD54" s="950">
        <f>'A - Movement'!Q54</f>
        <v>5.9685589803848416E-13</v>
      </c>
      <c r="AE54" s="950">
        <f>'A - Movement'!R54</f>
        <v>1.4210854715202004E-13</v>
      </c>
      <c r="AF54" s="950">
        <f>'A - Movement'!S54</f>
        <v>-8.5265128291212022E-14</v>
      </c>
      <c r="AG54" s="950">
        <f>'A - Movement'!T54</f>
        <v>1.4210854715202004E-13</v>
      </c>
      <c r="AH54" s="950">
        <f>'A - Movement'!U54</f>
        <v>-157.00000000000031</v>
      </c>
      <c r="AI54" s="950">
        <f>'A - Movement'!V54</f>
        <v>157.00000000000051</v>
      </c>
      <c r="AJ54" s="950">
        <f>O54</f>
        <v>1.5802470443304628E-11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231.81100000000001</v>
      </c>
      <c r="GW54" s="2526">
        <f>'E1 - Invoiced Income'!D54</f>
        <v>1258.1890000000001</v>
      </c>
      <c r="GX54" s="196">
        <f>'E1 - Invoiced Income'!E54</f>
        <v>1490</v>
      </c>
      <c r="GY54" s="2526">
        <f>'E1 - Invoiced Income'!F54</f>
        <v>0</v>
      </c>
      <c r="GZ54" s="2526" t="str">
        <f>'E1 - Invoiced Income'!G54</f>
        <v>Entered in P01 - Invoice raised for P01 - P03</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Jul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232902.69191353332</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0</v>
      </c>
      <c r="DM55" s="1902">
        <f>'B3 - COVID-19'!H55</f>
        <v>0</v>
      </c>
      <c r="DN55" s="1902">
        <f>'B3 - COVID-19'!I55</f>
        <v>0</v>
      </c>
      <c r="DO55" s="1902">
        <f>'B3 - COVID-19'!J55</f>
        <v>0</v>
      </c>
      <c r="DP55" s="1902">
        <f>'B3 - COVID-19'!K55</f>
        <v>0</v>
      </c>
      <c r="DQ55" s="1902">
        <f>'B3 - COVID-19'!L55</f>
        <v>0</v>
      </c>
      <c r="DR55" s="1902">
        <f>'B3 - COVID-19'!M55</f>
        <v>0</v>
      </c>
      <c r="DS55" s="1902">
        <f>'B3 - COVID-19'!N55</f>
        <v>0</v>
      </c>
      <c r="DT55" s="1862">
        <f>'B3 - COVID-19'!O55</f>
        <v>0</v>
      </c>
      <c r="DU55" s="1862">
        <f>'B3 - COVID-19'!P55</f>
        <v>0</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4931</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227.66666666666666</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950</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-810</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227.66666666666666</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-810</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445</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17.830416666666668</v>
      </c>
      <c r="DM59" s="1902">
        <f>'B3 - COVID-19'!H59</f>
        <v>17.830416666666668</v>
      </c>
      <c r="DN59" s="1902">
        <f>'B3 - COVID-19'!I59</f>
        <v>17.830416666666668</v>
      </c>
      <c r="DO59" s="1902">
        <f>'B3 - COVID-19'!J59</f>
        <v>17.830416666666668</v>
      </c>
      <c r="DP59" s="1902">
        <f>'B3 - COVID-19'!K59</f>
        <v>17.830416666666668</v>
      </c>
      <c r="DQ59" s="1902">
        <f>'B3 - COVID-19'!L59</f>
        <v>17.830416666666668</v>
      </c>
      <c r="DR59" s="1902">
        <f>'B3 - COVID-19'!M59</f>
        <v>17.830416666666668</v>
      </c>
      <c r="DS59" s="1902">
        <f>'B3 - COVID-19'!N59</f>
        <v>17.830416666666668</v>
      </c>
      <c r="DT59" s="1862">
        <f>'B3 - COVID-19'!O59</f>
        <v>77.817679999999996</v>
      </c>
      <c r="DU59" s="1862">
        <f>'B3 - COVID-19'!P59</f>
        <v>220.4610133333334</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1495.1606900000011</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15.6671</v>
      </c>
      <c r="JG60" s="2036">
        <f>'I - Capital RLM'!D60</f>
        <v>15.6671</v>
      </c>
      <c r="JH60" s="2036">
        <f>'I - Capital RLM'!E60</f>
        <v>0</v>
      </c>
      <c r="JI60" s="2118">
        <f>'I - Capital RLM'!F60</f>
        <v>0</v>
      </c>
      <c r="JJ60" s="2036">
        <f>'I - Capital RLM'!G60</f>
        <v>576</v>
      </c>
      <c r="JK60" s="2036">
        <f>'I - Capital RLM'!H60</f>
        <v>576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157</v>
      </c>
      <c r="BJ61" s="2049"/>
      <c r="BK61" s="2255"/>
      <c r="BL61" s="2256" t="str">
        <f>'B - Monthly Positions'!H60</f>
        <v>33. Extrapolated Scenario</v>
      </c>
      <c r="BM61" s="2257"/>
      <c r="BN61" s="2257"/>
      <c r="BO61" s="2254">
        <f>'B - Monthly Positions'!K60</f>
        <v>909</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63</v>
      </c>
      <c r="BJ62" s="2276"/>
      <c r="BK62" s="2249"/>
      <c r="BL62" s="2277" t="str">
        <f>'B - Monthly Positions'!H61</f>
        <v>34. Year to Date Trend Scenario</v>
      </c>
      <c r="BM62" s="2278"/>
      <c r="BN62" s="2278"/>
      <c r="BO62" s="2279">
        <f>'B - Monthly Positions'!K61</f>
        <v>471</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79.632000000000005</v>
      </c>
      <c r="DM62" s="1907">
        <f>'B3 - COVID-19'!H62</f>
        <v>79.632000000000005</v>
      </c>
      <c r="DN62" s="1907">
        <f>'B3 - COVID-19'!I62</f>
        <v>79.632000000000005</v>
      </c>
      <c r="DO62" s="1907">
        <f>'B3 - COVID-19'!J62</f>
        <v>79.632000000000005</v>
      </c>
      <c r="DP62" s="1907">
        <f>'B3 - COVID-19'!K62</f>
        <v>79.632000000000005</v>
      </c>
      <c r="DQ62" s="1907">
        <f>'B3 - COVID-19'!L62</f>
        <v>79.632000000000005</v>
      </c>
      <c r="DR62" s="1907">
        <f>'B3 - COVID-19'!M62</f>
        <v>79.632000000000005</v>
      </c>
      <c r="DS62" s="1907">
        <f>'B3 - COVID-19'!N62</f>
        <v>79.632000000000005</v>
      </c>
      <c r="DT62" s="1907">
        <f>'B3 - COVID-19'!O62</f>
        <v>274.90696000000003</v>
      </c>
      <c r="DU62" s="1907">
        <f>'B3 - COVID-19'!P62</f>
        <v>911.96296000000018</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94</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7993.8747600000006</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501.13637</v>
      </c>
      <c r="JK64" s="2009">
        <f>'I - Capital RLM'!H64</f>
        <v>501.13634000000002</v>
      </c>
      <c r="JL64" s="2117">
        <f>'I - Capital RLM'!I64</f>
        <v>-2.99999999811007E-5</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39.25</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289.75</v>
      </c>
      <c r="CV65" s="1341">
        <f>'B2 - Pay &amp; Agency'!H65</f>
        <v>289.75</v>
      </c>
      <c r="CW65" s="1341">
        <f>'B2 - Pay &amp; Agency'!I65</f>
        <v>289.75</v>
      </c>
      <c r="CX65" s="1341">
        <f>'B2 - Pay &amp; Agency'!J65</f>
        <v>289.75</v>
      </c>
      <c r="CY65" s="1341">
        <f>'B2 - Pay &amp; Agency'!K65</f>
        <v>289.75</v>
      </c>
      <c r="CZ65" s="1341">
        <f>'B2 - Pay &amp; Agency'!L65</f>
        <v>289.75</v>
      </c>
      <c r="DA65" s="1341">
        <f>'B2 - Pay &amp; Agency'!M65</f>
        <v>289.75</v>
      </c>
      <c r="DB65" s="1342">
        <f>'B2 - Pay &amp; Agency'!N65</f>
        <v>289.75</v>
      </c>
      <c r="DC65" s="1343">
        <f>'B2 - Pay &amp; Agency'!O65</f>
        <v>1159</v>
      </c>
      <c r="DD65" s="1344">
        <f>'B2 - Pay &amp; Agency'!P65</f>
        <v>3477</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0</v>
      </c>
      <c r="JG65" s="2009">
        <f>'I - Capital RLM'!D65</f>
        <v>0</v>
      </c>
      <c r="JH65" s="2117">
        <f>'I - Capital RLM'!E65</f>
        <v>0</v>
      </c>
      <c r="JI65" s="1942">
        <f>'I - Capital RLM'!F65</f>
        <v>0</v>
      </c>
      <c r="JJ65" s="2009">
        <f>'I - Capital RLM'!G65</f>
        <v>127.13217999999999</v>
      </c>
      <c r="JK65" s="2009">
        <f>'I - Capital RLM'!H65</f>
        <v>127.13217999999999</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19.625</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44.975999999999999</v>
      </c>
      <c r="DM66" s="1329">
        <f>'B3 - COVID-19'!H66</f>
        <v>104.976</v>
      </c>
      <c r="DN66" s="1329">
        <f>'B3 - COVID-19'!I66</f>
        <v>117.476</v>
      </c>
      <c r="DO66" s="1329">
        <f>'B3 - COVID-19'!J66</f>
        <v>57.475999999999999</v>
      </c>
      <c r="DP66" s="1329">
        <f>'B3 - COVID-19'!K66</f>
        <v>32.475999999999999</v>
      </c>
      <c r="DQ66" s="1329">
        <f>'B3 - COVID-19'!L66</f>
        <v>32.475999999999999</v>
      </c>
      <c r="DR66" s="1329">
        <f>'B3 - COVID-19'!M66</f>
        <v>33.337000000000003</v>
      </c>
      <c r="DS66" s="1329">
        <f>'B3 - COVID-19'!N66</f>
        <v>33.342059999999996</v>
      </c>
      <c r="DT66" s="1862">
        <f>'B3 - COVID-19'!O66</f>
        <v>121.50198</v>
      </c>
      <c r="DU66" s="1862">
        <f>'B3 - COVID-19'!P66</f>
        <v>578.03703999999993</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2469</v>
      </c>
      <c r="HS67" s="2402"/>
      <c r="HT67" s="2351">
        <f t="shared" si="19"/>
        <v>0</v>
      </c>
      <c r="JD67" s="2087">
        <f>'I - Capital RLM'!A67</f>
        <v>46</v>
      </c>
      <c r="JE67" s="2392" t="str">
        <f>'I - Capital RLM'!B67</f>
        <v>Estates</v>
      </c>
      <c r="JF67" s="2009">
        <f>'I - Capital RLM'!C67</f>
        <v>11.16</v>
      </c>
      <c r="JG67" s="2009">
        <f>'I - Capital RLM'!D67</f>
        <v>11.16</v>
      </c>
      <c r="JH67" s="2117">
        <f>'I - Capital RLM'!E67</f>
        <v>0</v>
      </c>
      <c r="JI67" s="1942">
        <f>'I - Capital RLM'!F67</f>
        <v>0</v>
      </c>
      <c r="JJ67" s="2009">
        <f>'I - Capital RLM'!G67</f>
        <v>227.19800000000001</v>
      </c>
      <c r="JK67" s="2009">
        <f>'I - Capital RLM'!H67</f>
        <v>227.19800000000001</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7</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377.53300000000002</v>
      </c>
      <c r="JK68" s="2051">
        <f>'I - Capital RLM'!H68</f>
        <v>377.53300000000002</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21</v>
      </c>
      <c r="HS69" s="2402"/>
      <c r="HT69" s="2351"/>
      <c r="JD69" s="2300">
        <f>'I - Capital RLM'!A69</f>
        <v>48</v>
      </c>
      <c r="JE69" s="2360" t="str">
        <f>'I - Capital RLM'!B69</f>
        <v>Sub Total</v>
      </c>
      <c r="JF69" s="2036">
        <f>'I - Capital RLM'!C69</f>
        <v>16.580940000000002</v>
      </c>
      <c r="JG69" s="2036">
        <f>'I - Capital RLM'!D69</f>
        <v>16.580940000000002</v>
      </c>
      <c r="JH69" s="2036">
        <f>'I - Capital RLM'!E69</f>
        <v>0</v>
      </c>
      <c r="JI69" s="1942">
        <f>'I - Capital RLM'!F69</f>
        <v>0</v>
      </c>
      <c r="JJ69" s="2036">
        <f>'I - Capital RLM'!G69</f>
        <v>1232.99955</v>
      </c>
      <c r="JK69" s="2036">
        <f>'I - Capital RLM'!H69</f>
        <v>1232.9995199999998</v>
      </c>
      <c r="JL69" s="2036">
        <f>'I - Capital RLM'!I69</f>
        <v>-2.99999999811007E-5</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960.66666666666652</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960.66666666666652</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1</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168.17</v>
      </c>
      <c r="BM73" s="1788">
        <f>'B - Monthly Positions'!I72</f>
        <v>168.17</v>
      </c>
      <c r="BN73" s="1788">
        <f>'B - Monthly Positions'!J72</f>
        <v>168.17</v>
      </c>
      <c r="BO73" s="1788">
        <f>'B - Monthly Positions'!K72</f>
        <v>168.17</v>
      </c>
      <c r="BP73" s="1788">
        <f>'B - Monthly Positions'!L72</f>
        <v>168.17</v>
      </c>
      <c r="BQ73" s="1788">
        <f>'B - Monthly Positions'!M72</f>
        <v>168.17</v>
      </c>
      <c r="BR73" s="1788">
        <f>'B - Monthly Positions'!N72</f>
        <v>168.17</v>
      </c>
      <c r="BS73" s="1838">
        <f>'B - Monthly Positions'!O72</f>
        <v>168.17</v>
      </c>
      <c r="BT73" s="74">
        <f>'B - Monthly Positions'!P72</f>
        <v>672.49099999999999</v>
      </c>
      <c r="BU73" s="937">
        <f>'B - Monthly Positions'!Q72</f>
        <v>2017.8509999999999</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49170</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226.25</v>
      </c>
      <c r="BM74" s="1782">
        <f>'B - Monthly Positions'!I73</f>
        <v>226.25</v>
      </c>
      <c r="BN74" s="1782">
        <f>'B - Monthly Positions'!J73</f>
        <v>226.25</v>
      </c>
      <c r="BO74" s="1782">
        <f>'B - Monthly Positions'!K73</f>
        <v>226.25</v>
      </c>
      <c r="BP74" s="1782">
        <f>'B - Monthly Positions'!L73</f>
        <v>226.25</v>
      </c>
      <c r="BQ74" s="1782">
        <f>'B - Monthly Positions'!M73</f>
        <v>226.25</v>
      </c>
      <c r="BR74" s="1782">
        <f>'B - Monthly Positions'!N73</f>
        <v>226.25</v>
      </c>
      <c r="BS74" s="1785">
        <f>'B - Monthly Positions'!O73</f>
        <v>226.25</v>
      </c>
      <c r="BT74" s="74">
        <f>'B - Monthly Positions'!P73</f>
        <v>905</v>
      </c>
      <c r="BU74" s="1066">
        <f>'B - Monthly Positions'!Q73</f>
        <v>2715</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44.975999999999999</v>
      </c>
      <c r="DM76" s="1906">
        <f>'B3 - COVID-19'!H76</f>
        <v>104.976</v>
      </c>
      <c r="DN76" s="1906">
        <f>'B3 - COVID-19'!I76</f>
        <v>117.476</v>
      </c>
      <c r="DO76" s="1906">
        <f>'B3 - COVID-19'!J76</f>
        <v>57.475999999999999</v>
      </c>
      <c r="DP76" s="1906">
        <f>'B3 - COVID-19'!K76</f>
        <v>32.475999999999999</v>
      </c>
      <c r="DQ76" s="1906">
        <f>'B3 - COVID-19'!L76</f>
        <v>32.475999999999999</v>
      </c>
      <c r="DR76" s="1906">
        <f>'B3 - COVID-19'!M76</f>
        <v>33.337000000000003</v>
      </c>
      <c r="DS76" s="1906">
        <f>'B3 - COVID-19'!N76</f>
        <v>33.342059999999996</v>
      </c>
      <c r="DT76" s="1906">
        <f>'B3 - COVID-19'!O76</f>
        <v>121.50198</v>
      </c>
      <c r="DU76" s="1906">
        <f>'B3 - COVID-19'!P76</f>
        <v>578.03703999999993</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1152</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496.67</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124.608</v>
      </c>
      <c r="DM77" s="1911">
        <f>'B3 - COVID-19'!H77</f>
        <v>184.608</v>
      </c>
      <c r="DN77" s="1911">
        <f>'B3 - COVID-19'!I77</f>
        <v>197.108</v>
      </c>
      <c r="DO77" s="1911">
        <f>'B3 - COVID-19'!J77</f>
        <v>137.108</v>
      </c>
      <c r="DP77" s="1911">
        <f>'B3 - COVID-19'!K77</f>
        <v>112.108</v>
      </c>
      <c r="DQ77" s="1911">
        <f>'B3 - COVID-19'!L77</f>
        <v>112.108</v>
      </c>
      <c r="DR77" s="1911">
        <f>'B3 - COVID-19'!M77</f>
        <v>112.96900000000001</v>
      </c>
      <c r="DS77" s="1911">
        <f>'B3 - COVID-19'!N77</f>
        <v>112.97406000000001</v>
      </c>
      <c r="DT77" s="1911">
        <f>'B3 - COVID-19'!O77</f>
        <v>396.40894000000003</v>
      </c>
      <c r="DU77" s="2491">
        <f>'B3 - COVID-19'!P77</f>
        <v>1490</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12904</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518.58999999999992</v>
      </c>
      <c r="BM78" s="1137">
        <f>'B - Monthly Positions'!I77</f>
        <v>518.58999999999992</v>
      </c>
      <c r="BN78" s="1137">
        <f>'B - Monthly Positions'!J77</f>
        <v>518.58999999999992</v>
      </c>
      <c r="BO78" s="1137">
        <f>'B - Monthly Positions'!K77</f>
        <v>518.58999999999992</v>
      </c>
      <c r="BP78" s="1137">
        <f>'B - Monthly Positions'!L77</f>
        <v>518.58999999999992</v>
      </c>
      <c r="BQ78" s="1137">
        <f>'B - Monthly Positions'!M77</f>
        <v>518.58999999999992</v>
      </c>
      <c r="BR78" s="1137">
        <f>'B - Monthly Positions'!N77</f>
        <v>518.58999999999992</v>
      </c>
      <c r="BS78" s="1137">
        <f>'B - Monthly Positions'!O77</f>
        <v>518.58999999999992</v>
      </c>
      <c r="BT78" s="1100">
        <f>'B - Monthly Positions'!P77</f>
        <v>2074.1610000000001</v>
      </c>
      <c r="BU78" s="1132">
        <f>'B - Monthly Positions'!Q77</f>
        <v>6222.8810000000003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1808.9995199999998</v>
      </c>
      <c r="JU78" s="2036">
        <f>'J - Capital In Year Schemes'!E78</f>
        <v>1808.9995199999998</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81.974999999999994</v>
      </c>
      <c r="KA78" s="2036">
        <f>'J - Capital In Year Schemes'!K78</f>
        <v>113</v>
      </c>
      <c r="KB78" s="2036">
        <f>'J - Capital In Year Schemes'!L78</f>
        <v>258</v>
      </c>
      <c r="KC78" s="2036">
        <f>'J - Capital In Year Schemes'!M78</f>
        <v>334</v>
      </c>
      <c r="KD78" s="2036">
        <f>'J - Capital In Year Schemes'!N78</f>
        <v>335</v>
      </c>
      <c r="KE78" s="2036">
        <f>'J - Capital In Year Schemes'!O78</f>
        <v>221</v>
      </c>
      <c r="KF78" s="2036">
        <f>'J - Capital In Year Schemes'!P78</f>
        <v>222</v>
      </c>
      <c r="KG78" s="2036">
        <f>'J - Capital In Year Schemes'!Q78</f>
        <v>211.6</v>
      </c>
      <c r="KH78" s="2036">
        <f>'J - Capital In Year Schemes'!R78</f>
        <v>32.248040000000003</v>
      </c>
      <c r="KI78" s="2036">
        <f>'J - Capital In Year Schemes'!S78</f>
        <v>1808.82304</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385.08031454545448</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10.17</v>
      </c>
      <c r="BM80" s="1841">
        <f>'B - Monthly Positions'!I79</f>
        <v>10.17</v>
      </c>
      <c r="BN80" s="1841">
        <f>'B - Monthly Positions'!J79</f>
        <v>10.17</v>
      </c>
      <c r="BO80" s="1841">
        <f>'B - Monthly Positions'!K79</f>
        <v>10.17</v>
      </c>
      <c r="BP80" s="1841">
        <f>'B - Monthly Positions'!L79</f>
        <v>10.17</v>
      </c>
      <c r="BQ80" s="1841">
        <f>'B - Monthly Positions'!M79</f>
        <v>10.17</v>
      </c>
      <c r="BR80" s="1841">
        <f>'B - Monthly Positions'!N79</f>
        <v>10.17</v>
      </c>
      <c r="BS80" s="1842">
        <f>'B - Monthly Positions'!O79</f>
        <v>10.17</v>
      </c>
      <c r="BT80" s="1080">
        <f>'B - Monthly Positions'!P79</f>
        <v>40.64</v>
      </c>
      <c r="BU80" s="1066">
        <f>'B - Monthly Positions'!Q79</f>
        <v>122</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-5.0808151515151678</v>
      </c>
      <c r="DM80" s="1907">
        <f>'B3 - COVID-19'!H80</f>
        <v>-5.0808151515151678</v>
      </c>
      <c r="DN80" s="1907">
        <f>'B3 - COVID-19'!I80</f>
        <v>-30.080815151515168</v>
      </c>
      <c r="DO80" s="1907">
        <f>'B3 - COVID-19'!J80</f>
        <v>-30.080815151515168</v>
      </c>
      <c r="DP80" s="1907">
        <f>'B3 - COVID-19'!K80</f>
        <v>-5.0808151515151678</v>
      </c>
      <c r="DQ80" s="1907">
        <f>'B3 - COVID-19'!L80</f>
        <v>-5.0808151515151678</v>
      </c>
      <c r="DR80" s="1907">
        <f>'B3 - COVID-19'!M80</f>
        <v>45.909289848484846</v>
      </c>
      <c r="DS80" s="1907">
        <f>'B3 - COVID-19'!N80</f>
        <v>45.904229848484846</v>
      </c>
      <c r="DT80" s="1907">
        <f>'B3 - COVID-19'!O80</f>
        <v>-11.328625454545545</v>
      </c>
      <c r="DU80" s="1907">
        <f>'B3 - COVID-19'!P80</f>
        <v>3.3333333249174757E-6</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65.67</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26.590000000000003</v>
      </c>
      <c r="BM83" s="1137">
        <f>'B - Monthly Positions'!I82</f>
        <v>26.590000000000003</v>
      </c>
      <c r="BN83" s="1137">
        <f>'B - Monthly Positions'!J82</f>
        <v>26.590000000000003</v>
      </c>
      <c r="BO83" s="1137">
        <f>'B - Monthly Positions'!K82</f>
        <v>26.590000000000003</v>
      </c>
      <c r="BP83" s="1137">
        <f>'B - Monthly Positions'!L82</f>
        <v>26.590000000000003</v>
      </c>
      <c r="BQ83" s="1137">
        <f>'B - Monthly Positions'!M82</f>
        <v>26.590000000000003</v>
      </c>
      <c r="BR83" s="1137">
        <f>'B - Monthly Positions'!N82</f>
        <v>26.590000000000003</v>
      </c>
      <c r="BS83" s="1137">
        <f>'B - Monthly Positions'!O82</f>
        <v>26.590000000000003</v>
      </c>
      <c r="BT83" s="1100">
        <f>'B - Monthly Positions'!P82</f>
        <v>106.31</v>
      </c>
      <c r="BU83" s="1132">
        <f>'B - Monthly Positions'!Q82</f>
        <v>319.03000000000003</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2865.1580000000004</v>
      </c>
      <c r="GW83" s="2527">
        <f>'E1 - Invoiced Income'!D83</f>
        <v>12633.919</v>
      </c>
      <c r="GX83" s="117">
        <f>'E1 - Invoiced Income'!E83</f>
        <v>15499.076999999999</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385.0803545454545</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124.608</v>
      </c>
      <c r="DM85" s="1325">
        <f>'B3 - COVID-19'!H85</f>
        <v>184.608</v>
      </c>
      <c r="DN85" s="1325">
        <f>'B3 - COVID-19'!I85</f>
        <v>197.108</v>
      </c>
      <c r="DO85" s="1325">
        <f>'B3 - COVID-19'!J85</f>
        <v>137.108</v>
      </c>
      <c r="DP85" s="1325">
        <f>'B3 - COVID-19'!K85</f>
        <v>112.108</v>
      </c>
      <c r="DQ85" s="1325">
        <f>'B3 - COVID-19'!L85</f>
        <v>112.108</v>
      </c>
      <c r="DR85" s="1325">
        <f>'B3 - COVID-19'!M85</f>
        <v>112.96900000000001</v>
      </c>
      <c r="DS85" s="1334">
        <f>'B3 - COVID-19'!N85</f>
        <v>112.97406000000001</v>
      </c>
      <c r="DT85" s="1323">
        <f>'B3 - COVID-19'!O85</f>
        <v>396.40897999999999</v>
      </c>
      <c r="DU85" s="1324">
        <f>'B3 - COVID-19'!P85</f>
        <v>1490.0000399999999</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124.608</v>
      </c>
      <c r="DM87" s="2814">
        <f>'B3 - COVID-19'!H87</f>
        <v>184.608</v>
      </c>
      <c r="DN87" s="2814">
        <f>'B3 - COVID-19'!I87</f>
        <v>197.108</v>
      </c>
      <c r="DO87" s="2814">
        <f>'B3 - COVID-19'!J87</f>
        <v>137.108</v>
      </c>
      <c r="DP87" s="2814">
        <f>'B3 - COVID-19'!K87</f>
        <v>112.108</v>
      </c>
      <c r="DQ87" s="2814">
        <f>'B3 - COVID-19'!L87</f>
        <v>112.108</v>
      </c>
      <c r="DR87" s="2814">
        <f>'B3 - COVID-19'!M87</f>
        <v>112.96900000000001</v>
      </c>
      <c r="DS87" s="2815">
        <f>'B3 - COVID-19'!N87</f>
        <v>112.97406000000001</v>
      </c>
      <c r="DT87" s="1109">
        <f>'B3 - COVID-19'!O87</f>
        <v>396.40897999999999</v>
      </c>
      <c r="DU87" s="1219">
        <f>'B3 - COVID-19'!P87</f>
        <v>1490.0000399999999</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5.0808151515151678</v>
      </c>
      <c r="DM88" s="2811">
        <f>'B3 - COVID-19'!H88</f>
        <v>5.0808151515151678</v>
      </c>
      <c r="DN88" s="2811">
        <f>'B3 - COVID-19'!I88</f>
        <v>30.080815151515168</v>
      </c>
      <c r="DO88" s="2811">
        <f>'B3 - COVID-19'!J88</f>
        <v>30.080815151515168</v>
      </c>
      <c r="DP88" s="2811">
        <f>'B3 - COVID-19'!K88</f>
        <v>5.0808151515151678</v>
      </c>
      <c r="DQ88" s="2811">
        <f>'B3 - COVID-19'!L88</f>
        <v>5.0808151515151678</v>
      </c>
      <c r="DR88" s="2811">
        <f>'B3 - COVID-19'!M88</f>
        <v>-45.909289848484846</v>
      </c>
      <c r="DS88" s="2812">
        <f>'B3 - COVID-19'!N88</f>
        <v>-45.904229848484846</v>
      </c>
      <c r="DT88" s="1685">
        <f>'B3 - COVID-19'!O88</f>
        <v>11.328625454545488</v>
      </c>
      <c r="DU88" s="2517">
        <f>'B3 - COVID-19'!P88</f>
        <v>-3.3333333249174757E-6</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3.9999999955853127E-5</v>
      </c>
      <c r="DU90" s="1866">
        <f>'B3 - COVID-19'!P90</f>
        <v>3.9999999899009708E-5</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32.248040000000003</v>
      </c>
      <c r="JG95" s="2036">
        <f>'I - Capital RLM'!D95</f>
        <v>32.248040000000003</v>
      </c>
      <c r="JH95" s="2036">
        <f>'I - Capital RLM'!E95</f>
        <v>0</v>
      </c>
      <c r="JI95" s="1942">
        <f>'I - Capital RLM'!F95</f>
        <v>0</v>
      </c>
      <c r="JJ95" s="2036">
        <f>'I - Capital RLM'!G95</f>
        <v>1808.99955</v>
      </c>
      <c r="JK95" s="2036">
        <f>'I - Capital RLM'!H95</f>
        <v>1808.9995199999998</v>
      </c>
      <c r="JL95" s="2036">
        <f>'I - Capital RLM'!I95</f>
        <v>-3.0000000151630957E-5</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32</v>
      </c>
      <c r="BM96" s="3002">
        <f>'B - Monthly Positions'!I96</f>
        <v>32</v>
      </c>
      <c r="BN96" s="3002">
        <f>'B - Monthly Positions'!J96</f>
        <v>32</v>
      </c>
      <c r="BO96" s="3002">
        <f>'B - Monthly Positions'!K96</f>
        <v>32</v>
      </c>
      <c r="BP96" s="3002">
        <f>'B - Monthly Positions'!L96</f>
        <v>32</v>
      </c>
      <c r="BQ96" s="3002">
        <f>'B - Monthly Positions'!M96</f>
        <v>32</v>
      </c>
      <c r="BR96" s="3002">
        <f>'B - Monthly Positions'!N96</f>
        <v>32</v>
      </c>
      <c r="BS96" s="3002">
        <f>'B - Monthly Positions'!O96</f>
        <v>32</v>
      </c>
      <c r="BT96" s="1100">
        <f>'B - Monthly Positions'!P96</f>
        <v>175</v>
      </c>
      <c r="BU96" s="1100">
        <f>'B - Monthly Positions'!Q96</f>
        <v>431</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960.66666666666652</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960.66666666666652</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810</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810</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32.248040000000003</v>
      </c>
      <c r="JG129" s="2036">
        <f>'I - Capital RLM'!D129</f>
        <v>32.248040000000003</v>
      </c>
      <c r="JH129" s="2036">
        <f>'I - Capital RLM'!E129</f>
        <v>0</v>
      </c>
      <c r="JI129" s="1942">
        <f>'I - Capital RLM'!F129</f>
        <v>0</v>
      </c>
      <c r="JJ129" s="2036">
        <f>'I - Capital RLM'!G129</f>
        <v>1808.99955</v>
      </c>
      <c r="JK129" s="2036">
        <f>'I - Capital RLM'!H129</f>
        <v>1808.9995199999998</v>
      </c>
      <c r="JL129" s="2036">
        <f>'I - Capital RLM'!I129</f>
        <v>-3.0000000151630957E-5</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-1776.7519600000001</v>
      </c>
      <c r="JH131" s="2451">
        <f>'I - Capital RLM'!E131</f>
        <v>0</v>
      </c>
      <c r="JI131" s="1942">
        <f>'I - Capital RLM'!F131</f>
        <v>0</v>
      </c>
      <c r="JJ131" s="2451">
        <f>'I - Capital RLM'!G131</f>
        <v>0</v>
      </c>
      <c r="JK131" s="2036">
        <f>'I - Capital RLM'!H131</f>
        <v>-4.8000000015235855E-4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1770.6666666666667</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1770.6666666666667</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4746.9116764278751</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1186.3092687617486</v>
      </c>
      <c r="DM148" s="2750">
        <f>'B3 - COVID-19'!H148</f>
        <v>1444.9805933715847</v>
      </c>
      <c r="DN148" s="2750">
        <f>'B3 - COVID-19'!I148</f>
        <v>1470.738070619672</v>
      </c>
      <c r="DO148" s="2750">
        <f>'B3 - COVID-19'!J148</f>
        <v>1418.9806048469945</v>
      </c>
      <c r="DP148" s="2750">
        <f>'B3 - COVID-19'!K148</f>
        <v>1681.975570619672</v>
      </c>
      <c r="DQ148" s="2750">
        <f>'B3 - COVID-19'!L148</f>
        <v>1473.238070619672</v>
      </c>
      <c r="DR148" s="2750">
        <f>'B3 - COVID-19'!M148</f>
        <v>1385.242239074317</v>
      </c>
      <c r="DS148" s="2750">
        <f>'B3 - COVID-19'!N148</f>
        <v>1667.1384956196721</v>
      </c>
      <c r="DT148" s="2754">
        <f>'B3 - COVID-19'!O148</f>
        <v>3770.4744500000002</v>
      </c>
      <c r="DU148" s="2755">
        <f>'B3 - COVID-19'!P148</f>
        <v>15499.077363533335</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-51.065034510854048</v>
      </c>
      <c r="DM149" s="2754">
        <f>'B3 - COVID-19'!H149</f>
        <v>206.80675788783424</v>
      </c>
      <c r="DN149" s="2754">
        <f>'B3 - COVID-19'!I149</f>
        <v>-31.990123633854637</v>
      </c>
      <c r="DO149" s="2754">
        <f>'B3 - COVID-19'!J149</f>
        <v>-35.012229005392328</v>
      </c>
      <c r="DP149" s="2754">
        <f>'B3 - COVID-19'!K149</f>
        <v>226.3297680328119</v>
      </c>
      <c r="DQ149" s="2754">
        <f>'B3 - COVID-19'!L149</f>
        <v>-56.490123633854637</v>
      </c>
      <c r="DR149" s="2754">
        <f>'B3 - COVID-19'!M149</f>
        <v>-20.519284376929818</v>
      </c>
      <c r="DS149" s="2754">
        <f>'B3 - COVID-19'!N149</f>
        <v>216.42568025503397</v>
      </c>
      <c r="DT149" s="2754">
        <f>'B3 - COVID-19'!O149</f>
        <v>976.43722642787452</v>
      </c>
      <c r="DU149" s="2755">
        <f>'B3 - COVID-19'!P149</f>
        <v>1430.9226374426692</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4746.9114864278745</v>
      </c>
      <c r="DU151" s="2755">
        <f>'B3 - COVID-19'!P151</f>
        <v>16929.999810976002</v>
      </c>
      <c r="DV151" s="608"/>
      <c r="DW151" s="1115"/>
      <c r="LL151" s="813"/>
      <c r="LM151" s="641"/>
      <c r="LN151" s="642"/>
      <c r="LO151" s="643"/>
      <c r="LP151" s="833">
        <f>'M - Aged Debtors'!E151</f>
        <v>6800</v>
      </c>
      <c r="LQ151" s="833">
        <f>'M - Aged Debtors'!F151</f>
        <v>6800</v>
      </c>
      <c r="LR151" s="644"/>
      <c r="LS151" s="834">
        <f>'M - Aged Debtors'!H151</f>
        <v>6800</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1186.3092687617486</v>
      </c>
      <c r="DM152" s="2750">
        <f>'B3 - COVID-19'!H152</f>
        <v>1444.9805933715847</v>
      </c>
      <c r="DN152" s="2750">
        <f>'B3 - COVID-19'!I152</f>
        <v>1470.738070619672</v>
      </c>
      <c r="DO152" s="2750">
        <f>'B3 - COVID-19'!J152</f>
        <v>1418.9806048469945</v>
      </c>
      <c r="DP152" s="2750">
        <f>'B3 - COVID-19'!K152</f>
        <v>1681.975570619672</v>
      </c>
      <c r="DQ152" s="2750">
        <f>'B3 - COVID-19'!L152</f>
        <v>1473.238070619672</v>
      </c>
      <c r="DR152" s="2750">
        <f>'B3 - COVID-19'!M152</f>
        <v>1385.242239074317</v>
      </c>
      <c r="DS152" s="2750">
        <f>'B3 - COVID-19'!N152</f>
        <v>1667.1384956196721</v>
      </c>
      <c r="DT152" s="2754">
        <f>'B3 - COVID-19'!O152</f>
        <v>3770.4744900000001</v>
      </c>
      <c r="DU152" s="2755">
        <f>'B3 - COVID-19'!P152</f>
        <v>15499.077403533334</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1186.3092687617486</v>
      </c>
      <c r="DM154" s="2754">
        <f>'B3 - COVID-19'!H154</f>
        <v>1444.9805933715847</v>
      </c>
      <c r="DN154" s="2754">
        <f>'B3 - COVID-19'!I154</f>
        <v>1470.738070619672</v>
      </c>
      <c r="DO154" s="2754">
        <f>'B3 - COVID-19'!J154</f>
        <v>1418.9806048469945</v>
      </c>
      <c r="DP154" s="2754">
        <f>'B3 - COVID-19'!K154</f>
        <v>1681.975570619672</v>
      </c>
      <c r="DQ154" s="2754">
        <f>'B3 - COVID-19'!L154</f>
        <v>1473.238070619672</v>
      </c>
      <c r="DR154" s="2754">
        <f>'B3 - COVID-19'!M154</f>
        <v>1385.242239074317</v>
      </c>
      <c r="DS154" s="2754">
        <f>'B3 - COVID-19'!N154</f>
        <v>1667.1384956196721</v>
      </c>
      <c r="DT154" s="2754">
        <f>'B3 - COVID-19'!O154</f>
        <v>3770.4744900000001</v>
      </c>
      <c r="DU154" s="2755">
        <f>'B3 - COVID-19'!P154</f>
        <v>15499.077403533334</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51.065034510854048</v>
      </c>
      <c r="DM155" s="2759">
        <f>'B3 - COVID-19'!H155</f>
        <v>-206.80675788783424</v>
      </c>
      <c r="DN155" s="2759">
        <f>'B3 - COVID-19'!I155</f>
        <v>31.990123633854637</v>
      </c>
      <c r="DO155" s="2759">
        <f>'B3 - COVID-19'!J155</f>
        <v>35.012229005392328</v>
      </c>
      <c r="DP155" s="2759">
        <f>'B3 - COVID-19'!K155</f>
        <v>-226.3297680328119</v>
      </c>
      <c r="DQ155" s="2759">
        <f>'B3 - COVID-19'!L155</f>
        <v>56.490123633854637</v>
      </c>
      <c r="DR155" s="2759">
        <f>'B3 - COVID-19'!M155</f>
        <v>20.519284376929818</v>
      </c>
      <c r="DS155" s="2759">
        <f>'B3 - COVID-19'!N155</f>
        <v>-216.42568025503397</v>
      </c>
      <c r="DT155" s="2759">
        <f>'B3 - COVID-19'!O155</f>
        <v>-976.43699642787442</v>
      </c>
      <c r="DU155" s="2760">
        <f>'B3 - COVID-19'!P155</f>
        <v>-1430.9224074426675</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6800</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43.62764</v>
      </c>
      <c r="DM167" s="2716">
        <f>'B3 - COVID-19'!X23</f>
        <v>43.62764</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174.51053999999999</v>
      </c>
      <c r="DU167" s="1862">
        <f>'B3 - COVID-19'!AF23</f>
        <v>523.53165999999987</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706.86973999999998</v>
      </c>
      <c r="DK168" s="2716">
        <f>'B3 - COVID-19'!V24</f>
        <v>537.04047000000003</v>
      </c>
      <c r="DL168" s="2716">
        <f>'B3 - COVID-19'!W24</f>
        <v>569.81143162841522</v>
      </c>
      <c r="DM168" s="2716">
        <f>'B3 - COVID-19'!X24</f>
        <v>551.43041770491811</v>
      </c>
      <c r="DN168" s="2716">
        <f>'B3 - COVID-19'!Y24</f>
        <v>782.2788301530054</v>
      </c>
      <c r="DO168" s="2716">
        <f>'B3 - COVID-19'!Z24</f>
        <v>757.04402918032781</v>
      </c>
      <c r="DP168" s="2716">
        <f>'B3 - COVID-19'!AA24</f>
        <v>782.2788301530054</v>
      </c>
      <c r="DQ168" s="2716">
        <f>'B3 - COVID-19'!AB24</f>
        <v>782.2788301530054</v>
      </c>
      <c r="DR168" s="2716">
        <f>'B3 - COVID-19'!AC24</f>
        <v>731.80922820765022</v>
      </c>
      <c r="DS168" s="2716">
        <f>'B3 - COVID-19'!AD24</f>
        <v>782.2788301530054</v>
      </c>
      <c r="DT168" s="1862">
        <f>'B3 - COVID-19'!AE24</f>
        <v>2559.1060899999998</v>
      </c>
      <c r="DU168" s="1862">
        <f>'B3 - COVID-19'!AF24</f>
        <v>8298.3165173333327</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20.056415000000001</v>
      </c>
      <c r="DM169" s="2716">
        <f>'B3 - COVID-19'!X25</f>
        <v>20.056415000000001</v>
      </c>
      <c r="DN169" s="2716">
        <f>'B3 - COVID-19'!Y25</f>
        <v>20.056415000000001</v>
      </c>
      <c r="DO169" s="2716">
        <f>'B3 - COVID-19'!Z25</f>
        <v>20.056415000000001</v>
      </c>
      <c r="DP169" s="2716">
        <f>'B3 - COVID-19'!AA25</f>
        <v>20.056415000000001</v>
      </c>
      <c r="DQ169" s="2716">
        <f>'B3 - COVID-19'!AB25</f>
        <v>20.056415000000001</v>
      </c>
      <c r="DR169" s="2716">
        <f>'B3 - COVID-19'!AC25</f>
        <v>20.056415000000001</v>
      </c>
      <c r="DS169" s="2716">
        <f>'B3 - COVID-19'!AD25</f>
        <v>20.056415000000001</v>
      </c>
      <c r="DT169" s="1862">
        <f>'B3 - COVID-19'!AE25</f>
        <v>80.225660000000005</v>
      </c>
      <c r="DU169" s="1862">
        <f>'B3 - COVID-19'!AF25</f>
        <v>240.67698000000007</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8.5999999999999993E-2</v>
      </c>
      <c r="DM170" s="2716">
        <f>'B3 - COVID-19'!X26</f>
        <v>8.3000000000000004E-2</v>
      </c>
      <c r="DN170" s="2716">
        <f>'B3 - COVID-19'!Y26</f>
        <v>0.11799999999999999</v>
      </c>
      <c r="DO170" s="2716">
        <f>'B3 - COVID-19'!Z26</f>
        <v>0.114</v>
      </c>
      <c r="DP170" s="2716">
        <f>'B3 - COVID-19'!AA26</f>
        <v>0.11799999999999999</v>
      </c>
      <c r="DQ170" s="2716">
        <f>'B3 - COVID-19'!AB26</f>
        <v>0.11799999999999999</v>
      </c>
      <c r="DR170" s="2716">
        <f>'B3 - COVID-19'!AC26</f>
        <v>0.111</v>
      </c>
      <c r="DS170" s="2716">
        <f>'B3 - COVID-19'!AD26</f>
        <v>0.11799999999999999</v>
      </c>
      <c r="DT170" s="1862">
        <f>'B3 - COVID-19'!AE26</f>
        <v>6.1357799999999996</v>
      </c>
      <c r="DU170" s="1862">
        <f>'B3 - COVID-19'!AF26</f>
        <v>7.001780000000001</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233.07860880000001</v>
      </c>
      <c r="DM171" s="2716">
        <f>'B3 - COVID-19'!X27</f>
        <v>225.55994400000003</v>
      </c>
      <c r="DN171" s="2716">
        <f>'B3 - COVID-19'!Y27</f>
        <v>233.07860880000001</v>
      </c>
      <c r="DO171" s="2716">
        <f>'B3 - COVID-19'!Z27</f>
        <v>225.55994400000003</v>
      </c>
      <c r="DP171" s="2716">
        <f>'B3 - COVID-19'!AA27</f>
        <v>279.57860880000004</v>
      </c>
      <c r="DQ171" s="2716">
        <f>'B3 - COVID-19'!AB27</f>
        <v>279.57860880000004</v>
      </c>
      <c r="DR171" s="2716">
        <f>'B3 - COVID-19'!AC27</f>
        <v>264.54127919999996</v>
      </c>
      <c r="DS171" s="2716">
        <f>'B3 - COVID-19'!AD27</f>
        <v>280.07860880000004</v>
      </c>
      <c r="DT171" s="1862">
        <f>'B3 - COVID-19'!AE27</f>
        <v>183.83624</v>
      </c>
      <c r="DU171" s="1862">
        <f>'B3 - COVID-19'!AF27</f>
        <v>2204.8904511999999</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10.25</v>
      </c>
      <c r="DM172" s="2716">
        <f>'B3 - COVID-19'!X28</f>
        <v>30.75</v>
      </c>
      <c r="DN172" s="2716">
        <f>'B3 - COVID-19'!Y28</f>
        <v>41</v>
      </c>
      <c r="DO172" s="2716">
        <f>'B3 - COVID-19'!Z28</f>
        <v>82</v>
      </c>
      <c r="DP172" s="2716">
        <f>'B3 - COVID-19'!AA28</f>
        <v>102.5</v>
      </c>
      <c r="DQ172" s="2716">
        <f>'B3 - COVID-19'!AB28</f>
        <v>82</v>
      </c>
      <c r="DR172" s="2716">
        <f>'B3 - COVID-19'!AC28</f>
        <v>61.5</v>
      </c>
      <c r="DS172" s="2716">
        <f>'B3 - COVID-19'!AD28</f>
        <v>41</v>
      </c>
      <c r="DT172" s="1862">
        <f>'B3 - COVID-19'!AE28</f>
        <v>100.28483</v>
      </c>
      <c r="DU172" s="1862">
        <f>'B3 - COVID-19'!AF28</f>
        <v>551.28483000000006</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18.600940000000001</v>
      </c>
      <c r="DM173" s="2716">
        <f>'B3 - COVID-19'!X29</f>
        <v>24.1875</v>
      </c>
      <c r="DN173" s="2716">
        <f>'B3 - COVID-19'!Y29</f>
        <v>0</v>
      </c>
      <c r="DO173" s="2716">
        <f>'B3 - COVID-19'!Z29</f>
        <v>0</v>
      </c>
      <c r="DP173" s="2716">
        <f>'B3 - COVID-19'!AA29</f>
        <v>24.1875</v>
      </c>
      <c r="DQ173" s="2716">
        <f>'B3 - COVID-19'!AB29</f>
        <v>0</v>
      </c>
      <c r="DR173" s="2716">
        <f>'B3 - COVID-19'!AC29</f>
        <v>0</v>
      </c>
      <c r="DS173" s="2716">
        <f>'B3 - COVID-19'!AD29</f>
        <v>24.1875</v>
      </c>
      <c r="DT173" s="1862">
        <f>'B3 - COVID-19'!AE29</f>
        <v>4.4208000000000007</v>
      </c>
      <c r="DU173" s="1862">
        <f>'B3 - COVID-19'!AF29</f>
        <v>95.584239999999994</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f>'B3 - COVID-19'!R30</f>
        <v>0</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0</v>
      </c>
      <c r="DT174" s="1862">
        <f>'B3 - COVID-19'!AE30</f>
        <v>0</v>
      </c>
      <c r="DU174" s="1862">
        <f>'B3 - COVID-19'!AF30</f>
        <v>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f>'B3 - COVID-19'!R31</f>
        <v>0</v>
      </c>
      <c r="DH175" s="2716">
        <f>'B3 - COVID-19'!S31</f>
        <v>0</v>
      </c>
      <c r="DI175" s="2716">
        <f>'B3 - COVID-19'!T31</f>
        <v>0</v>
      </c>
      <c r="DJ175" s="2716">
        <f>'B3 - COVID-19'!U31</f>
        <v>0</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0</v>
      </c>
      <c r="DU175" s="1862">
        <f>'B3 - COVID-19'!AF31</f>
        <v>0</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f>'B3 - COVID-19'!R32</f>
        <v>0</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0</v>
      </c>
      <c r="DR176" s="2716">
        <f>'B3 - COVID-19'!AC32</f>
        <v>0</v>
      </c>
      <c r="DS176" s="2716">
        <f>'B3 - COVID-19'!AD32</f>
        <v>0</v>
      </c>
      <c r="DT176" s="1862">
        <f>'B3 - COVID-19'!AE32</f>
        <v>0</v>
      </c>
      <c r="DU176" s="1862">
        <f>'B3 - COVID-19'!AF32</f>
        <v>0</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895.51103542841531</v>
      </c>
      <c r="DM178" s="2717">
        <f>'B3 - COVID-19'!X34</f>
        <v>895.69491670491811</v>
      </c>
      <c r="DN178" s="2717">
        <f>'B3 - COVID-19'!Y34</f>
        <v>1120.1594939530055</v>
      </c>
      <c r="DO178" s="2717">
        <f>'B3 - COVID-19'!Z34</f>
        <v>1128.402028180328</v>
      </c>
      <c r="DP178" s="2717">
        <f>'B3 - COVID-19'!AA34</f>
        <v>1252.3469939530055</v>
      </c>
      <c r="DQ178" s="2717">
        <f>'B3 - COVID-19'!AB34</f>
        <v>1207.6594939530055</v>
      </c>
      <c r="DR178" s="2717">
        <f>'B3 - COVID-19'!AC34</f>
        <v>1121.6455624076502</v>
      </c>
      <c r="DS178" s="2717">
        <f>'B3 - COVID-19'!AD34</f>
        <v>1191.3469939530055</v>
      </c>
      <c r="DT178" s="2717">
        <f>'B3 - COVID-19'!AE34</f>
        <v>3108.5199399999997</v>
      </c>
      <c r="DU178" s="2717">
        <f>'B3 - COVID-19'!AF34</f>
        <v>11921.286458533334</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1770.6666666666667</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1770.6666666666667</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-1770.6666666666667</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-1770.6666666666667</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545.17999999999995</v>
      </c>
      <c r="CE212" s="1109">
        <f>' Table Z Net Exp Profiles'!H212</f>
        <v>545.17999999999995</v>
      </c>
      <c r="CF212" s="1109">
        <f>' Table Z Net Exp Profiles'!I212</f>
        <v>545.17999999999995</v>
      </c>
      <c r="CG212" s="1109">
        <f>' Table Z Net Exp Profiles'!J212</f>
        <v>545.17999999999995</v>
      </c>
      <c r="CH212" s="1109">
        <f>' Table Z Net Exp Profiles'!K212</f>
        <v>545.17999999999995</v>
      </c>
      <c r="CI212" s="1109">
        <f>' Table Z Net Exp Profiles'!L212</f>
        <v>545.17999999999995</v>
      </c>
      <c r="CJ212" s="1109">
        <f>' Table Z Net Exp Profiles'!M212</f>
        <v>545.17999999999995</v>
      </c>
      <c r="CK212" s="1109">
        <f>' Table Z Net Exp Profiles'!N212</f>
        <v>545.17999999999995</v>
      </c>
      <c r="CL212" s="1109">
        <f>' Table Z Net Exp Profiles'!O212</f>
        <v>2180.4709999999995</v>
      </c>
      <c r="CM212" s="1100">
        <f>' Table Z Net Exp Profiles'!P212</f>
        <v>6541.9110000000001</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19352.22126876175</v>
      </c>
      <c r="CE226" s="1282">
        <f>' Table Z Net Exp Profiles'!H226</f>
        <v>19486.363593371585</v>
      </c>
      <c r="CF226" s="1282">
        <f>' Table Z Net Exp Profiles'!I226</f>
        <v>20078.820070619673</v>
      </c>
      <c r="CG226" s="1282">
        <f>' Table Z Net Exp Profiles'!J226</f>
        <v>19805.060604846996</v>
      </c>
      <c r="CH226" s="1282">
        <f>' Table Z Net Exp Profiles'!K226</f>
        <v>20185.062570619673</v>
      </c>
      <c r="CI226" s="1282">
        <f>' Table Z Net Exp Profiles'!L226</f>
        <v>19874.332070619672</v>
      </c>
      <c r="CJ226" s="1282">
        <f>' Table Z Net Exp Profiles'!M226</f>
        <v>19848.176239074317</v>
      </c>
      <c r="CK226" s="1282">
        <f>' Table Z Net Exp Profiles'!N226</f>
        <v>24279.217495619672</v>
      </c>
      <c r="CL226" s="1231">
        <f>' Table Z Net Exp Profiles'!O226</f>
        <v>76535</v>
      </c>
      <c r="CM226" s="1100">
        <f>' Table Z Net Exp Profiles'!P226</f>
        <v>239444.25391353335</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H11" sqref="H11"/>
    </sheetView>
  </sheetViews>
  <sheetFormatPr defaultColWidth="8.81640625" defaultRowHeight="13.2"/>
  <cols>
    <col min="1" max="1" width="5.81640625" style="9" customWidth="1"/>
    <col min="2" max="2" width="47.81640625" style="9" customWidth="1"/>
    <col min="3" max="15" width="10.453125" style="9" customWidth="1"/>
    <col min="16" max="17" width="8.81640625" style="757"/>
    <col min="18" max="18" width="49" style="757" bestFit="1" customWidth="1"/>
    <col min="19" max="19" width="63.1796875" style="757" customWidth="1"/>
    <col min="20" max="16384" width="8.81640625" style="9"/>
  </cols>
  <sheetData>
    <row r="1" spans="1:37" ht="37.5" customHeight="1">
      <c r="A1" s="1357" t="str">
        <f>+Summary!A1</f>
        <v>Public Health Wales Trust</v>
      </c>
      <c r="B1" s="373"/>
      <c r="C1" s="80"/>
      <c r="D1" s="373" t="s">
        <v>460</v>
      </c>
      <c r="E1" s="1303" t="str">
        <f>Summary!H1</f>
        <v>Jul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7.399999999999999">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7.399999999999999">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6">
      <c r="A5" s="280" t="s">
        <v>525</v>
      </c>
      <c r="B5" s="80"/>
      <c r="C5" s="111">
        <f>VLOOKUP(Summary!H1,Summary!V1:W12,2,FALSE)</f>
        <v>4</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2" thickBot="1">
      <c r="A6" s="280"/>
      <c r="B6" s="1312"/>
      <c r="C6" s="107">
        <f t="shared" ref="C6:M6" si="0">IF(C7&lt;=$C$5,1,0)</f>
        <v>1</v>
      </c>
      <c r="D6" s="107">
        <f t="shared" si="0"/>
        <v>1</v>
      </c>
      <c r="E6" s="107">
        <f t="shared" si="0"/>
        <v>1</v>
      </c>
      <c r="F6" s="107">
        <f t="shared" si="0"/>
        <v>1</v>
      </c>
      <c r="G6" s="107">
        <f t="shared" si="0"/>
        <v>0</v>
      </c>
      <c r="H6" s="107">
        <f t="shared" si="0"/>
        <v>0</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8"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40.200000000000003"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8"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('B3 - COVID-19'!G10+'B3 - COVID-19'!G53+'B3 - COVID-19'!G96)+5889+46+3</f>
        <v>6066.9131666666663</v>
      </c>
      <c r="H10" s="1326">
        <f>('B3 - COVID-19'!H10+'B3 - COVID-19'!H53+'B3 - COVID-19'!H96)+5944+36+3</f>
        <v>6131.3547349999999</v>
      </c>
      <c r="I10" s="1326">
        <f>('B3 - COVID-19'!I10+'B3 - COVID-19'!I53+'B3 - COVID-19'!I96)+6049+35</f>
        <v>6235.1976350000004</v>
      </c>
      <c r="J10" s="1326">
        <f>('B3 - COVID-19'!J10+'B3 - COVID-19'!J53+'B3 - COVID-19'!J96)+6059+35</f>
        <v>6245.1976350000004</v>
      </c>
      <c r="K10" s="1326">
        <f>('B3 - COVID-19'!K10+'B3 - COVID-19'!K53+'B3 - COVID-19'!K96)+6064+35</f>
        <v>6250.1976350000004</v>
      </c>
      <c r="L10" s="1326">
        <f>('B3 - COVID-19'!L10+'B3 - COVID-19'!L53+'B3 - COVID-19'!L96)+6055+35</f>
        <v>6241.1976350000004</v>
      </c>
      <c r="M10" s="1326">
        <f>('B3 - COVID-19'!M10+'B3 - COVID-19'!M53+'B3 - COVID-19'!M96)+6053+35</f>
        <v>6236.3547349999999</v>
      </c>
      <c r="N10" s="1333">
        <f>('B3 - COVID-19'!N10+'B3 - COVID-19'!N53+'B3 - COVID-19'!N96)+6368+33+1</f>
        <v>6548.4944999999998</v>
      </c>
      <c r="O10" s="1131">
        <f>SUMPRODUCT($C$6:$N$6,C10:N10)</f>
        <v>26553</v>
      </c>
      <c r="P10" s="1322">
        <f>SUM(C10:N10)</f>
        <v>76507.907676666684</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v>1400</v>
      </c>
      <c r="H11" s="1325">
        <v>1400</v>
      </c>
      <c r="I11" s="1325">
        <v>1397</v>
      </c>
      <c r="J11" s="1325">
        <v>1397</v>
      </c>
      <c r="K11" s="1325">
        <v>1397</v>
      </c>
      <c r="L11" s="1325">
        <v>1397</v>
      </c>
      <c r="M11" s="1325">
        <v>1397</v>
      </c>
      <c r="N11" s="1334">
        <v>1420</v>
      </c>
      <c r="O11" s="1323">
        <f t="shared" ref="O11:O18" si="1">SUMPRODUCT($C$6:$N$6,C11:N11)</f>
        <v>5139</v>
      </c>
      <c r="P11" s="1324">
        <f t="shared" ref="P11:P18" si="2">SUM(C11:N11)</f>
        <v>16344</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v>452</v>
      </c>
      <c r="H12" s="1325">
        <v>452</v>
      </c>
      <c r="I12" s="1325">
        <v>452</v>
      </c>
      <c r="J12" s="1325">
        <v>452</v>
      </c>
      <c r="K12" s="1325">
        <v>452</v>
      </c>
      <c r="L12" s="1325">
        <v>452</v>
      </c>
      <c r="M12" s="1325">
        <v>452</v>
      </c>
      <c r="N12" s="1334">
        <v>461</v>
      </c>
      <c r="O12" s="1323">
        <f t="shared" si="1"/>
        <v>2130</v>
      </c>
      <c r="P12" s="1324">
        <f t="shared" si="2"/>
        <v>5755</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('B3 - COVID-19'!G14+'B3 - COVID-19'!G57+'B3 - COVID-19'!G100)+297</f>
        <v>299.62175000000002</v>
      </c>
      <c r="H14" s="1325">
        <f>('B3 - COVID-19'!H14+'B3 - COVID-19'!H57+'B3 - COVID-19'!H100)+297</f>
        <v>299.62175000000002</v>
      </c>
      <c r="I14" s="1325">
        <f>('B3 - COVID-19'!I14+'B3 - COVID-19'!I57+'B3 - COVID-19'!I100)+298</f>
        <v>300.62175000000002</v>
      </c>
      <c r="J14" s="1325">
        <f>('B3 - COVID-19'!J14+'B3 - COVID-19'!J57+'B3 - COVID-19'!J100)+298</f>
        <v>300.62175000000002</v>
      </c>
      <c r="K14" s="1325">
        <f>('B3 - COVID-19'!K14+'B3 - COVID-19'!K57+'B3 - COVID-19'!K100)+298</f>
        <v>300.62175000000002</v>
      </c>
      <c r="L14" s="1325">
        <f>('B3 - COVID-19'!L14+'B3 - COVID-19'!L57+'B3 - COVID-19'!L100)+298</f>
        <v>300.62175000000002</v>
      </c>
      <c r="M14" s="1325">
        <f>('B3 - COVID-19'!M14+'B3 - COVID-19'!M57+'B3 - COVID-19'!M100)+298</f>
        <v>300.62175000000002</v>
      </c>
      <c r="N14" s="1325">
        <f>('B3 - COVID-19'!N14+'B3 - COVID-19'!N57+'B3 - COVID-19'!N100)+298</f>
        <v>300.62175000000002</v>
      </c>
      <c r="O14" s="1323">
        <f t="shared" si="1"/>
        <v>1384</v>
      </c>
      <c r="P14" s="1324">
        <f t="shared" si="2"/>
        <v>3786.9740000000011</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v>1125</v>
      </c>
      <c r="H15" s="1325">
        <v>1126</v>
      </c>
      <c r="I15" s="1325">
        <v>1127</v>
      </c>
      <c r="J15" s="1325">
        <v>1127</v>
      </c>
      <c r="K15" s="1325">
        <v>1127</v>
      </c>
      <c r="L15" s="1325">
        <v>1131</v>
      </c>
      <c r="M15" s="1325">
        <v>1128</v>
      </c>
      <c r="N15" s="1334">
        <v>1128</v>
      </c>
      <c r="O15" s="1323">
        <f t="shared" si="1"/>
        <v>4431</v>
      </c>
      <c r="P15" s="1324">
        <f t="shared" si="2"/>
        <v>13450</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('B3 - COVID-19'!G16+'B3 - COVID-19'!G59)+1504</f>
        <v>1568.9973166666666</v>
      </c>
      <c r="H16" s="1325">
        <f>('B3 - COVID-19'!H16+'B3 - COVID-19'!H59)+1504</f>
        <v>1583.2831916666667</v>
      </c>
      <c r="I16" s="1325">
        <f>('B3 - COVID-19'!I16+'B3 - COVID-19'!I59)+1506</f>
        <v>1585.2831916666667</v>
      </c>
      <c r="J16" s="1325">
        <f>('B3 - COVID-19'!J16+'B3 - COVID-19'!J59)+1506</f>
        <v>1585.2831916666667</v>
      </c>
      <c r="K16" s="1325">
        <f>('B3 - COVID-19'!K16+'B3 - COVID-19'!K59)+1506</f>
        <v>1585.2831916666667</v>
      </c>
      <c r="L16" s="1325">
        <f>('B3 - COVID-19'!L16+'B3 - COVID-19'!L59)+1506</f>
        <v>1585.2831916666667</v>
      </c>
      <c r="M16" s="1325">
        <f>('B3 - COVID-19'!M16+'B3 - COVID-19'!M59)+1506</f>
        <v>1585.2831916666667</v>
      </c>
      <c r="N16" s="1334">
        <f>('B3 - COVID-19'!N16+'B3 - COVID-19'!N59)+1523</f>
        <v>1602.2831916666667</v>
      </c>
      <c r="O16" s="1323">
        <f t="shared" si="1"/>
        <v>7097</v>
      </c>
      <c r="P16" s="1324">
        <f t="shared" si="2"/>
        <v>19777.979658333334</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v>1</v>
      </c>
      <c r="H17" s="1325">
        <v>1</v>
      </c>
      <c r="I17" s="1325">
        <v>1</v>
      </c>
      <c r="J17" s="1325">
        <v>1</v>
      </c>
      <c r="K17" s="1325">
        <v>1</v>
      </c>
      <c r="L17" s="1325">
        <v>1</v>
      </c>
      <c r="M17" s="1325">
        <v>1</v>
      </c>
      <c r="N17" s="1334">
        <v>1</v>
      </c>
      <c r="O17" s="1323">
        <f t="shared" si="1"/>
        <v>13</v>
      </c>
      <c r="P17" s="1324">
        <f t="shared" si="2"/>
        <v>21</v>
      </c>
      <c r="Q17" s="608"/>
      <c r="R17" s="608"/>
      <c r="S17" s="608"/>
      <c r="T17" s="80"/>
      <c r="U17" s="80"/>
      <c r="V17" s="80"/>
      <c r="W17" s="80"/>
      <c r="X17" s="80"/>
      <c r="Y17" s="80"/>
      <c r="Z17" s="80"/>
      <c r="AA17" s="80"/>
      <c r="AB17" s="80"/>
      <c r="AC17" s="80"/>
      <c r="AD17" s="80"/>
      <c r="AE17" s="80"/>
      <c r="AF17" s="80"/>
      <c r="AG17" s="80"/>
      <c r="AH17" s="80"/>
      <c r="AI17" s="80"/>
      <c r="AJ17" s="80"/>
      <c r="AK17" s="80"/>
    </row>
    <row r="18" spans="1:37" ht="13.8"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8" thickBot="1">
      <c r="A19" s="1352">
        <v>10</v>
      </c>
      <c r="B19" s="1356" t="s">
        <v>194</v>
      </c>
      <c r="C19" s="1340">
        <f>SUM(C10:C18)</f>
        <v>10151</v>
      </c>
      <c r="D19" s="1341">
        <f t="shared" ref="D19:O19" si="3">SUM(D10:D18)</f>
        <v>10557</v>
      </c>
      <c r="E19" s="1341">
        <f t="shared" si="3"/>
        <v>13690</v>
      </c>
      <c r="F19" s="1341">
        <f t="shared" si="3"/>
        <v>12349</v>
      </c>
      <c r="G19" s="1341">
        <f t="shared" si="3"/>
        <v>10913.532233333332</v>
      </c>
      <c r="H19" s="1341">
        <f t="shared" si="3"/>
        <v>10993.259676666667</v>
      </c>
      <c r="I19" s="1341">
        <f t="shared" si="3"/>
        <v>11098.102576666668</v>
      </c>
      <c r="J19" s="1341">
        <f t="shared" si="3"/>
        <v>11108.102576666668</v>
      </c>
      <c r="K19" s="1341">
        <f t="shared" si="3"/>
        <v>11113.102576666668</v>
      </c>
      <c r="L19" s="1341">
        <f t="shared" si="3"/>
        <v>11108.102576666668</v>
      </c>
      <c r="M19" s="1341">
        <f t="shared" si="3"/>
        <v>11100.259676666667</v>
      </c>
      <c r="N19" s="1342">
        <f t="shared" si="3"/>
        <v>11461.399441666668</v>
      </c>
      <c r="O19" s="1343">
        <f t="shared" si="3"/>
        <v>46747</v>
      </c>
      <c r="P19" s="1344">
        <f>SUM(P10:P18)</f>
        <v>135642.86133500002</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8"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10913.532233333333</v>
      </c>
      <c r="H24" s="1569">
        <f>'B - Monthly Positions'!I20</f>
        <v>10993.259676666667</v>
      </c>
      <c r="I24" s="1569">
        <f>'B - Monthly Positions'!J20</f>
        <v>11098.102576666666</v>
      </c>
      <c r="J24" s="1569">
        <f>'B - Monthly Positions'!K20</f>
        <v>11108.102576666666</v>
      </c>
      <c r="K24" s="1569">
        <f>'B - Monthly Positions'!L20</f>
        <v>11113.102576666666</v>
      </c>
      <c r="L24" s="1569">
        <f>'B - Monthly Positions'!M20</f>
        <v>11108.102576666666</v>
      </c>
      <c r="M24" s="1569">
        <f>'B - Monthly Positions'!N20</f>
        <v>11100.259676666667</v>
      </c>
      <c r="N24" s="2478">
        <f>'B - Monthly Positions'!O20</f>
        <v>11461.399441666666</v>
      </c>
      <c r="O24" s="1131">
        <f>SUMPRODUCT($C$6:$N$6,C24:N24)</f>
        <v>46747</v>
      </c>
      <c r="P24" s="1322">
        <f>SUM(C24:N24)</f>
        <v>135642.86133500002</v>
      </c>
      <c r="Q24" s="608"/>
      <c r="R24" s="608"/>
      <c r="S24" s="608"/>
      <c r="T24" s="80"/>
      <c r="U24" s="80"/>
      <c r="V24" s="80"/>
      <c r="W24" s="80"/>
      <c r="X24" s="80"/>
      <c r="Y24" s="80"/>
      <c r="Z24" s="80"/>
      <c r="AA24" s="80"/>
      <c r="AB24" s="80"/>
      <c r="AC24" s="80"/>
      <c r="AD24" s="80"/>
      <c r="AE24" s="80"/>
      <c r="AF24" s="80"/>
      <c r="AG24" s="80"/>
      <c r="AH24" s="80"/>
      <c r="AI24" s="80"/>
      <c r="AJ24" s="80"/>
      <c r="AK24" s="80"/>
    </row>
    <row r="25" spans="1:37" ht="13.8"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8" thickBot="1">
      <c r="A26" s="1349">
        <v>13</v>
      </c>
      <c r="B26" s="1350" t="s">
        <v>361</v>
      </c>
      <c r="C26" s="1343">
        <f>SUM(C24:C25)</f>
        <v>10151</v>
      </c>
      <c r="D26" s="1345">
        <f t="shared" ref="D26:N26" si="4">SUM(D24:D25)</f>
        <v>10557</v>
      </c>
      <c r="E26" s="1345">
        <f t="shared" si="4"/>
        <v>13690</v>
      </c>
      <c r="F26" s="1345">
        <f t="shared" si="4"/>
        <v>12349</v>
      </c>
      <c r="G26" s="1345">
        <f t="shared" si="4"/>
        <v>10913.532233333333</v>
      </c>
      <c r="H26" s="1345">
        <f t="shared" si="4"/>
        <v>10993.259676666667</v>
      </c>
      <c r="I26" s="1345">
        <f t="shared" si="4"/>
        <v>11098.102576666666</v>
      </c>
      <c r="J26" s="1345">
        <f t="shared" si="4"/>
        <v>11108.102576666666</v>
      </c>
      <c r="K26" s="1345">
        <f t="shared" si="4"/>
        <v>11113.102576666666</v>
      </c>
      <c r="L26" s="1345">
        <f t="shared" si="4"/>
        <v>11108.102576666666</v>
      </c>
      <c r="M26" s="1345">
        <f t="shared" si="4"/>
        <v>11100.259676666667</v>
      </c>
      <c r="N26" s="1344">
        <f t="shared" si="4"/>
        <v>11461.399441666666</v>
      </c>
      <c r="O26" s="1343">
        <f>SUM(O24:O25)</f>
        <v>46747</v>
      </c>
      <c r="P26" s="1344">
        <f>SUM(P24:P25)</f>
        <v>135642.86133500002</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8"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8"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40.200000000000003"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8"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AVERAGE(C33:F33)</f>
        <v>152.5</v>
      </c>
      <c r="H33" s="1326">
        <f t="shared" ref="H33:N33" si="6">G33</f>
        <v>152.5</v>
      </c>
      <c r="I33" s="1326">
        <f t="shared" si="6"/>
        <v>152.5</v>
      </c>
      <c r="J33" s="1326">
        <f t="shared" si="6"/>
        <v>152.5</v>
      </c>
      <c r="K33" s="1326">
        <f t="shared" si="6"/>
        <v>152.5</v>
      </c>
      <c r="L33" s="1326">
        <f t="shared" si="6"/>
        <v>152.5</v>
      </c>
      <c r="M33" s="1326">
        <f t="shared" si="6"/>
        <v>152.5</v>
      </c>
      <c r="N33" s="1326">
        <f t="shared" si="6"/>
        <v>152.5</v>
      </c>
      <c r="O33" s="1131">
        <f t="shared" ref="O33:O41" si="7">SUMPRODUCT($C$6:$N$6,C33:N33)</f>
        <v>610</v>
      </c>
      <c r="P33" s="1322">
        <f t="shared" ref="P33:P41" si="8">SUM(C33:N33)</f>
        <v>1830</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 t="shared" ref="G34:G41" si="9">AVERAGE(C34:F34)</f>
        <v>28</v>
      </c>
      <c r="H34" s="1326">
        <f t="shared" ref="D34:N41" si="10">G34</f>
        <v>28</v>
      </c>
      <c r="I34" s="1326">
        <f t="shared" si="10"/>
        <v>28</v>
      </c>
      <c r="J34" s="1326">
        <f t="shared" si="10"/>
        <v>28</v>
      </c>
      <c r="K34" s="1326">
        <f t="shared" si="10"/>
        <v>28</v>
      </c>
      <c r="L34" s="1326">
        <f t="shared" si="10"/>
        <v>28</v>
      </c>
      <c r="M34" s="1326">
        <f t="shared" si="10"/>
        <v>28</v>
      </c>
      <c r="N34" s="1326">
        <f t="shared" si="10"/>
        <v>28</v>
      </c>
      <c r="O34" s="1323">
        <f t="shared" si="7"/>
        <v>112</v>
      </c>
      <c r="P34" s="1324">
        <f t="shared" si="8"/>
        <v>336</v>
      </c>
      <c r="Q34" s="608"/>
      <c r="R34" s="608"/>
      <c r="S34" s="608"/>
      <c r="T34" s="80"/>
      <c r="U34" s="80"/>
      <c r="V34" s="80"/>
      <c r="W34" s="80"/>
      <c r="X34" s="80"/>
      <c r="Y34" s="80"/>
      <c r="Z34" s="80"/>
      <c r="AA34" s="80"/>
      <c r="AB34" s="80"/>
      <c r="AC34" s="80"/>
      <c r="AD34" s="80"/>
      <c r="AE34" s="80"/>
      <c r="AF34" s="80"/>
      <c r="AG34" s="80"/>
      <c r="AH34" s="80"/>
      <c r="AI34" s="80"/>
      <c r="AJ34" s="80"/>
      <c r="AK34" s="80"/>
    </row>
    <row r="35" spans="1:37" ht="13.2" customHeight="1">
      <c r="A35" s="1328">
        <v>3</v>
      </c>
      <c r="B35" s="1332" t="s">
        <v>420</v>
      </c>
      <c r="C35" s="1330">
        <v>3</v>
      </c>
      <c r="D35" s="1326">
        <f>3-C35</f>
        <v>0</v>
      </c>
      <c r="E35" s="1326">
        <f>3-SUM(C35:D35)</f>
        <v>0</v>
      </c>
      <c r="F35" s="1326">
        <f>3-SUM(C35:E35)</f>
        <v>0</v>
      </c>
      <c r="G35" s="1326">
        <f t="shared" si="9"/>
        <v>0.75</v>
      </c>
      <c r="H35" s="1326">
        <f t="shared" si="10"/>
        <v>0.75</v>
      </c>
      <c r="I35" s="1326">
        <f t="shared" si="10"/>
        <v>0.75</v>
      </c>
      <c r="J35" s="1326">
        <f t="shared" si="10"/>
        <v>0.75</v>
      </c>
      <c r="K35" s="1326">
        <f t="shared" si="10"/>
        <v>0.75</v>
      </c>
      <c r="L35" s="1326">
        <f t="shared" si="10"/>
        <v>0.75</v>
      </c>
      <c r="M35" s="1326">
        <f t="shared" si="10"/>
        <v>0.75</v>
      </c>
      <c r="N35" s="1326">
        <f t="shared" si="10"/>
        <v>0.75</v>
      </c>
      <c r="O35" s="1323">
        <f t="shared" si="7"/>
        <v>3</v>
      </c>
      <c r="P35" s="1324">
        <f t="shared" si="8"/>
        <v>9</v>
      </c>
      <c r="Q35" s="608"/>
      <c r="R35" s="608"/>
      <c r="S35" s="608"/>
      <c r="T35" s="80"/>
      <c r="U35" s="80"/>
      <c r="V35" s="80"/>
      <c r="W35" s="80"/>
      <c r="X35" s="80"/>
      <c r="Y35" s="80"/>
      <c r="Z35" s="80"/>
      <c r="AA35" s="80"/>
      <c r="AB35" s="80"/>
      <c r="AC35" s="80"/>
      <c r="AD35" s="80"/>
      <c r="AE35" s="80"/>
      <c r="AF35" s="80"/>
      <c r="AG35" s="80"/>
      <c r="AH35" s="80"/>
      <c r="AI35" s="80"/>
      <c r="AJ35" s="80"/>
      <c r="AK35" s="80"/>
    </row>
    <row r="36" spans="1:37" ht="13.2" customHeight="1">
      <c r="A36" s="1328">
        <v>4</v>
      </c>
      <c r="B36" s="1332" t="s">
        <v>421</v>
      </c>
      <c r="C36" s="1330"/>
      <c r="D36" s="1326">
        <f t="shared" si="10"/>
        <v>0</v>
      </c>
      <c r="E36" s="1326">
        <f t="shared" si="10"/>
        <v>0</v>
      </c>
      <c r="F36" s="1326">
        <f t="shared" ref="F36:F41" si="11">AVERAGE(C36:E36)</f>
        <v>0</v>
      </c>
      <c r="G36" s="1326">
        <f t="shared" si="9"/>
        <v>0</v>
      </c>
      <c r="H36" s="1326">
        <f t="shared" si="10"/>
        <v>0</v>
      </c>
      <c r="I36" s="1326">
        <f t="shared" si="10"/>
        <v>0</v>
      </c>
      <c r="J36" s="1326">
        <f t="shared" si="10"/>
        <v>0</v>
      </c>
      <c r="K36" s="1326">
        <f t="shared" si="10"/>
        <v>0</v>
      </c>
      <c r="L36" s="1326">
        <f t="shared" si="10"/>
        <v>0</v>
      </c>
      <c r="M36" s="1326">
        <f t="shared" si="10"/>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 customHeight="1">
      <c r="A37" s="1328">
        <v>5</v>
      </c>
      <c r="B37" s="1332" t="s">
        <v>422</v>
      </c>
      <c r="C37" s="1330">
        <v>17</v>
      </c>
      <c r="D37" s="1326">
        <f>39-C37</f>
        <v>22</v>
      </c>
      <c r="E37" s="1326">
        <f>69-SUM(C37:D37)</f>
        <v>30</v>
      </c>
      <c r="F37" s="1326">
        <f>102-SUM(C37:E37)</f>
        <v>33</v>
      </c>
      <c r="G37" s="1326">
        <f t="shared" si="9"/>
        <v>25.5</v>
      </c>
      <c r="H37" s="1326">
        <f t="shared" si="10"/>
        <v>25.5</v>
      </c>
      <c r="I37" s="1326">
        <f t="shared" si="10"/>
        <v>25.5</v>
      </c>
      <c r="J37" s="1326">
        <f t="shared" si="10"/>
        <v>25.5</v>
      </c>
      <c r="K37" s="1326">
        <f t="shared" si="10"/>
        <v>25.5</v>
      </c>
      <c r="L37" s="1326">
        <f t="shared" si="10"/>
        <v>25.5</v>
      </c>
      <c r="M37" s="1326">
        <f t="shared" si="10"/>
        <v>25.5</v>
      </c>
      <c r="N37" s="1326">
        <f t="shared" si="10"/>
        <v>25.5</v>
      </c>
      <c r="O37" s="1323">
        <f t="shared" si="7"/>
        <v>102</v>
      </c>
      <c r="P37" s="1324">
        <f t="shared" si="8"/>
        <v>306</v>
      </c>
      <c r="Q37" s="608"/>
      <c r="R37" s="608"/>
      <c r="S37" s="608"/>
      <c r="T37" s="80"/>
      <c r="U37" s="80"/>
      <c r="V37" s="80"/>
      <c r="W37" s="80"/>
      <c r="X37" s="80"/>
      <c r="Y37" s="80"/>
      <c r="Z37" s="80"/>
      <c r="AA37" s="80"/>
      <c r="AB37" s="80"/>
      <c r="AC37" s="80"/>
      <c r="AD37" s="80"/>
      <c r="AE37" s="80"/>
      <c r="AF37" s="80"/>
      <c r="AG37" s="80"/>
      <c r="AH37" s="80"/>
      <c r="AI37" s="80"/>
      <c r="AJ37" s="80"/>
      <c r="AK37" s="80"/>
    </row>
    <row r="38" spans="1:37" ht="13.2" customHeight="1">
      <c r="A38" s="1328">
        <v>6</v>
      </c>
      <c r="B38" s="1332" t="s">
        <v>364</v>
      </c>
      <c r="C38" s="1330"/>
      <c r="D38" s="1326">
        <f t="shared" si="10"/>
        <v>0</v>
      </c>
      <c r="E38" s="1326">
        <f>-2-SUM(C38:D38)</f>
        <v>-2</v>
      </c>
      <c r="F38" s="1326">
        <f>-3-SUM(C38:E38)</f>
        <v>-1</v>
      </c>
      <c r="G38" s="1326">
        <f t="shared" si="9"/>
        <v>-1</v>
      </c>
      <c r="H38" s="1326">
        <f t="shared" si="10"/>
        <v>-1</v>
      </c>
      <c r="I38" s="1326">
        <f t="shared" si="10"/>
        <v>-1</v>
      </c>
      <c r="J38" s="1326">
        <f t="shared" si="10"/>
        <v>-1</v>
      </c>
      <c r="K38" s="1326">
        <f t="shared" si="10"/>
        <v>-1</v>
      </c>
      <c r="L38" s="1326">
        <f t="shared" si="10"/>
        <v>-1</v>
      </c>
      <c r="M38" s="1326">
        <f t="shared" si="10"/>
        <v>-1</v>
      </c>
      <c r="N38" s="1326">
        <f t="shared" si="10"/>
        <v>-1</v>
      </c>
      <c r="O38" s="1323">
        <f t="shared" si="7"/>
        <v>-3</v>
      </c>
      <c r="P38" s="1324">
        <f t="shared" si="8"/>
        <v>-11</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 t="shared" si="9"/>
        <v>82</v>
      </c>
      <c r="H39" s="1326">
        <f t="shared" si="10"/>
        <v>82</v>
      </c>
      <c r="I39" s="1326">
        <f t="shared" si="10"/>
        <v>82</v>
      </c>
      <c r="J39" s="1326">
        <f t="shared" si="10"/>
        <v>82</v>
      </c>
      <c r="K39" s="1326">
        <f t="shared" si="10"/>
        <v>82</v>
      </c>
      <c r="L39" s="1326">
        <f t="shared" si="10"/>
        <v>82</v>
      </c>
      <c r="M39" s="1326">
        <f t="shared" si="10"/>
        <v>82</v>
      </c>
      <c r="N39" s="1326">
        <f t="shared" si="10"/>
        <v>82</v>
      </c>
      <c r="O39" s="1323">
        <f t="shared" si="7"/>
        <v>328</v>
      </c>
      <c r="P39" s="1324">
        <f t="shared" si="8"/>
        <v>984</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 t="shared" si="9"/>
        <v>1.75</v>
      </c>
      <c r="H40" s="1326">
        <f t="shared" si="10"/>
        <v>1.75</v>
      </c>
      <c r="I40" s="1326">
        <f t="shared" si="10"/>
        <v>1.75</v>
      </c>
      <c r="J40" s="1326">
        <f t="shared" si="10"/>
        <v>1.75</v>
      </c>
      <c r="K40" s="1326">
        <f t="shared" si="10"/>
        <v>1.75</v>
      </c>
      <c r="L40" s="1326">
        <f t="shared" si="10"/>
        <v>1.75</v>
      </c>
      <c r="M40" s="1326">
        <f t="shared" si="10"/>
        <v>1.75</v>
      </c>
      <c r="N40" s="1326">
        <f t="shared" si="10"/>
        <v>1.75</v>
      </c>
      <c r="O40" s="1323">
        <f t="shared" si="7"/>
        <v>7</v>
      </c>
      <c r="P40" s="1324">
        <f t="shared" si="8"/>
        <v>21</v>
      </c>
      <c r="Q40" s="608"/>
      <c r="R40" s="608"/>
      <c r="S40" s="608"/>
      <c r="T40" s="80"/>
      <c r="U40" s="80"/>
      <c r="V40" s="80"/>
      <c r="W40" s="80"/>
      <c r="X40" s="80"/>
      <c r="Y40" s="80"/>
      <c r="Z40" s="80"/>
      <c r="AA40" s="80"/>
      <c r="AB40" s="80"/>
      <c r="AC40" s="80"/>
      <c r="AD40" s="80"/>
      <c r="AE40" s="80"/>
      <c r="AF40" s="80"/>
      <c r="AG40" s="80"/>
      <c r="AH40" s="80"/>
      <c r="AI40" s="80"/>
      <c r="AJ40" s="80"/>
      <c r="AK40" s="80"/>
    </row>
    <row r="41" spans="1:37" ht="13.8" thickBot="1">
      <c r="A41" s="1358">
        <v>9</v>
      </c>
      <c r="B41" s="1359" t="s">
        <v>424</v>
      </c>
      <c r="C41" s="1335"/>
      <c r="D41" s="1326">
        <f t="shared" si="10"/>
        <v>0</v>
      </c>
      <c r="E41" s="1326">
        <f t="shared" si="10"/>
        <v>0</v>
      </c>
      <c r="F41" s="1326">
        <f t="shared" si="11"/>
        <v>0</v>
      </c>
      <c r="G41" s="1326">
        <f t="shared" si="9"/>
        <v>0</v>
      </c>
      <c r="H41" s="1326">
        <f t="shared" si="10"/>
        <v>0</v>
      </c>
      <c r="I41" s="1326">
        <f t="shared" si="10"/>
        <v>0</v>
      </c>
      <c r="J41" s="1326">
        <f t="shared" si="10"/>
        <v>0</v>
      </c>
      <c r="K41" s="1326">
        <f t="shared" si="10"/>
        <v>0</v>
      </c>
      <c r="L41" s="1326">
        <f t="shared" si="10"/>
        <v>0</v>
      </c>
      <c r="M41" s="1326">
        <f t="shared" si="10"/>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8" thickBot="1">
      <c r="A42" s="1352">
        <v>10</v>
      </c>
      <c r="B42" s="1356" t="s">
        <v>528</v>
      </c>
      <c r="C42" s="1340">
        <f>SUM(C33:C41)</f>
        <v>278</v>
      </c>
      <c r="D42" s="1341">
        <f t="shared" ref="D42:P42" si="12">SUM(D33:D41)</f>
        <v>308</v>
      </c>
      <c r="E42" s="1341">
        <f t="shared" si="12"/>
        <v>262</v>
      </c>
      <c r="F42" s="1341">
        <f t="shared" si="12"/>
        <v>311</v>
      </c>
      <c r="G42" s="1341">
        <f t="shared" si="12"/>
        <v>289.5</v>
      </c>
      <c r="H42" s="1341">
        <f t="shared" si="12"/>
        <v>289.5</v>
      </c>
      <c r="I42" s="1341">
        <f t="shared" si="12"/>
        <v>289.5</v>
      </c>
      <c r="J42" s="1341">
        <f t="shared" si="12"/>
        <v>289.5</v>
      </c>
      <c r="K42" s="1341">
        <f t="shared" si="12"/>
        <v>289.5</v>
      </c>
      <c r="L42" s="1341">
        <f t="shared" si="12"/>
        <v>289.5</v>
      </c>
      <c r="M42" s="1341">
        <f t="shared" si="12"/>
        <v>289.5</v>
      </c>
      <c r="N42" s="1342">
        <f t="shared" si="12"/>
        <v>289.5</v>
      </c>
      <c r="O42" s="1343">
        <f t="shared" si="12"/>
        <v>1159</v>
      </c>
      <c r="P42" s="1344">
        <f t="shared" si="12"/>
        <v>3475</v>
      </c>
      <c r="Q42" s="608"/>
      <c r="R42" s="608"/>
      <c r="S42" s="608"/>
      <c r="T42" s="80"/>
      <c r="U42" s="80"/>
      <c r="V42" s="80"/>
      <c r="W42" s="80"/>
      <c r="X42" s="80"/>
      <c r="Y42" s="80"/>
      <c r="Z42" s="80"/>
      <c r="AA42" s="80"/>
      <c r="AB42" s="80"/>
      <c r="AC42" s="80"/>
      <c r="AD42" s="80"/>
      <c r="AE42" s="80"/>
      <c r="AF42" s="80"/>
      <c r="AG42" s="80"/>
      <c r="AH42" s="80"/>
      <c r="AI42" s="80"/>
      <c r="AJ42" s="80"/>
      <c r="AK42" s="80"/>
    </row>
    <row r="43" spans="1:37" ht="13.8"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8"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2.6526700412885271E-2</v>
      </c>
      <c r="H44" s="1353">
        <f t="shared" si="13"/>
        <v>2.6334318347311255E-2</v>
      </c>
      <c r="I44" s="1353">
        <f t="shared" si="13"/>
        <v>2.6085540118241705E-2</v>
      </c>
      <c r="J44" s="1353">
        <f t="shared" si="13"/>
        <v>2.6062056773594675E-2</v>
      </c>
      <c r="K44" s="1353">
        <f t="shared" si="13"/>
        <v>2.6050330949688255E-2</v>
      </c>
      <c r="L44" s="1353">
        <f t="shared" si="13"/>
        <v>2.6062056773594675E-2</v>
      </c>
      <c r="M44" s="1353">
        <f t="shared" si="13"/>
        <v>2.6080470946868415E-2</v>
      </c>
      <c r="N44" s="1353">
        <f t="shared" si="13"/>
        <v>2.5258695630793068E-2</v>
      </c>
      <c r="O44" s="1353">
        <f t="shared" si="13"/>
        <v>2.4793034847155969E-2</v>
      </c>
      <c r="P44" s="1354">
        <f t="shared" si="13"/>
        <v>2.5618745917027799E-2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8"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8"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40.200000000000003"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8"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f>AVERAGE(C52:F52)</f>
        <v>282.75</v>
      </c>
      <c r="H52" s="1326">
        <f t="shared" ref="H52:N52" si="14">G52</f>
        <v>282.75</v>
      </c>
      <c r="I52" s="1326">
        <f t="shared" si="14"/>
        <v>282.75</v>
      </c>
      <c r="J52" s="1326">
        <f t="shared" si="14"/>
        <v>282.75</v>
      </c>
      <c r="K52" s="1326">
        <f t="shared" si="14"/>
        <v>282.75</v>
      </c>
      <c r="L52" s="1326">
        <f t="shared" si="14"/>
        <v>282.75</v>
      </c>
      <c r="M52" s="1326">
        <f t="shared" si="14"/>
        <v>282.75</v>
      </c>
      <c r="N52" s="1326">
        <f t="shared" si="14"/>
        <v>282.75</v>
      </c>
      <c r="O52" s="1131">
        <f>SUMPRODUCT($C$6:$N$6,C52:N52)</f>
        <v>1131</v>
      </c>
      <c r="P52" s="1322">
        <f>SUM(C52:N52)</f>
        <v>3393</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f>AVERAGE(C53:F53)</f>
        <v>7</v>
      </c>
      <c r="H53" s="1325">
        <f t="shared" ref="H53:N53" si="15">G53</f>
        <v>7</v>
      </c>
      <c r="I53" s="1325">
        <f t="shared" si="15"/>
        <v>7</v>
      </c>
      <c r="J53" s="1325">
        <f t="shared" si="15"/>
        <v>7</v>
      </c>
      <c r="K53" s="1325">
        <f t="shared" si="15"/>
        <v>7</v>
      </c>
      <c r="L53" s="1325">
        <f t="shared" si="15"/>
        <v>7</v>
      </c>
      <c r="M53" s="1325">
        <f t="shared" si="15"/>
        <v>7</v>
      </c>
      <c r="N53" s="1325">
        <f t="shared" si="15"/>
        <v>7</v>
      </c>
      <c r="O53" s="1323">
        <f t="shared" ref="O53:O64" si="16">SUMPRODUCT($C$6:$N$6,C53:N53)</f>
        <v>28</v>
      </c>
      <c r="P53" s="1324">
        <f t="shared" ref="P53:P64" si="17">SUM(C53:N53)</f>
        <v>84</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8"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8" thickBot="1">
      <c r="A65" s="1352">
        <f>A63+1</f>
        <v>13</v>
      </c>
      <c r="B65" s="1356" t="s">
        <v>528</v>
      </c>
      <c r="C65" s="1340">
        <f t="shared" ref="C65:P65" si="19">SUM(C52:C64)</f>
        <v>278</v>
      </c>
      <c r="D65" s="1341">
        <f t="shared" si="19"/>
        <v>308</v>
      </c>
      <c r="E65" s="1341">
        <f t="shared" si="19"/>
        <v>262</v>
      </c>
      <c r="F65" s="1341">
        <f t="shared" si="19"/>
        <v>311</v>
      </c>
      <c r="G65" s="1341">
        <f t="shared" si="19"/>
        <v>289.75</v>
      </c>
      <c r="H65" s="1341">
        <f t="shared" si="19"/>
        <v>289.75</v>
      </c>
      <c r="I65" s="1341">
        <f t="shared" si="19"/>
        <v>289.75</v>
      </c>
      <c r="J65" s="1341">
        <f t="shared" si="19"/>
        <v>289.75</v>
      </c>
      <c r="K65" s="1341">
        <f t="shared" si="19"/>
        <v>289.75</v>
      </c>
      <c r="L65" s="1341">
        <f t="shared" si="19"/>
        <v>289.75</v>
      </c>
      <c r="M65" s="1341">
        <f t="shared" si="19"/>
        <v>289.75</v>
      </c>
      <c r="N65" s="1342">
        <f t="shared" si="19"/>
        <v>289.75</v>
      </c>
      <c r="O65" s="1343">
        <f t="shared" si="19"/>
        <v>1159</v>
      </c>
      <c r="P65" s="1344">
        <f t="shared" si="19"/>
        <v>3477</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zoomScale="90" zoomScaleNormal="90" workbookViewId="0">
      <selection activeCell="C10" sqref="C10"/>
    </sheetView>
  </sheetViews>
  <sheetFormatPr defaultColWidth="8.81640625" defaultRowHeight="13.2"/>
  <cols>
    <col min="1" max="1" width="5.81640625" style="9" customWidth="1"/>
    <col min="2" max="2" width="116.08984375" style="9" bestFit="1" customWidth="1"/>
    <col min="3" max="15" width="10.453125" style="9" customWidth="1"/>
    <col min="16" max="17" width="8.81640625" style="757"/>
    <col min="18" max="18" width="62.81640625" style="757" customWidth="1"/>
    <col min="19" max="19" width="8.81640625" style="757" customWidth="1"/>
    <col min="20" max="31" width="8.81640625" style="9"/>
    <col min="32" max="32" width="11.08984375" style="9" customWidth="1"/>
    <col min="33" max="16384" width="8.8164062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Jul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4</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2" thickBot="1">
      <c r="A4" s="280"/>
      <c r="B4" s="1312"/>
      <c r="C4" s="107">
        <f t="shared" ref="C4:M4" si="0">IF(C5&lt;=$C$3,1,0)</f>
        <v>1</v>
      </c>
      <c r="D4" s="107">
        <f t="shared" si="0"/>
        <v>1</v>
      </c>
      <c r="E4" s="107">
        <f t="shared" si="0"/>
        <v>1</v>
      </c>
      <c r="F4" s="107">
        <f t="shared" si="0"/>
        <v>1</v>
      </c>
      <c r="G4" s="107">
        <f t="shared" si="0"/>
        <v>0</v>
      </c>
      <c r="H4" s="107">
        <f t="shared" si="0"/>
        <v>0</v>
      </c>
      <c r="I4" s="107">
        <f t="shared" si="0"/>
        <v>0</v>
      </c>
      <c r="J4" s="107">
        <f t="shared" si="0"/>
        <v>0</v>
      </c>
      <c r="K4" s="107">
        <f t="shared" si="0"/>
        <v>0</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8"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40.200000000000003"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8"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8"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67.111583333333314</v>
      </c>
      <c r="H10" s="1903">
        <v>86.553151666666679</v>
      </c>
      <c r="I10" s="1903">
        <v>89.396051666666665</v>
      </c>
      <c r="J10" s="1903">
        <v>89.396051666666665</v>
      </c>
      <c r="K10" s="1903">
        <v>89.396051666666665</v>
      </c>
      <c r="L10" s="1903">
        <v>89.396051666666665</v>
      </c>
      <c r="M10" s="1903">
        <v>86.553151666666679</v>
      </c>
      <c r="N10" s="1904">
        <v>84.692916666666676</v>
      </c>
      <c r="O10" s="1862">
        <f t="shared" ref="O10:O18" si="2">SUMPRODUCT($C$4:$N$4,C10:N10)</f>
        <v>100.9875</v>
      </c>
      <c r="P10" s="1863">
        <f t="shared" ref="P10:P18" si="3">SUM(C10:N10)</f>
        <v>783.48251000000005</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2.62175</v>
      </c>
      <c r="H14" s="1326">
        <v>2.62175</v>
      </c>
      <c r="I14" s="1326">
        <v>2.62175</v>
      </c>
      <c r="J14" s="1326">
        <v>2.62175</v>
      </c>
      <c r="K14" s="1326">
        <v>2.62175</v>
      </c>
      <c r="L14" s="1326">
        <v>2.62175</v>
      </c>
      <c r="M14" s="1326">
        <v>2.62175</v>
      </c>
      <c r="N14" s="1333">
        <v>2.62175</v>
      </c>
      <c r="O14" s="1862">
        <f t="shared" si="2"/>
        <v>12.018460000000001</v>
      </c>
      <c r="P14" s="1863">
        <f t="shared" si="3"/>
        <v>32.992459999999994</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47.166899999999998</v>
      </c>
      <c r="H16" s="1326">
        <v>61.45277500000001</v>
      </c>
      <c r="I16" s="1326">
        <v>61.45277500000001</v>
      </c>
      <c r="J16" s="1326">
        <v>61.45277500000001</v>
      </c>
      <c r="K16" s="1326">
        <v>61.45277500000001</v>
      </c>
      <c r="L16" s="1326">
        <v>61.45277500000001</v>
      </c>
      <c r="M16" s="1326">
        <v>61.45277500000001</v>
      </c>
      <c r="N16" s="1333">
        <v>61.45277500000001</v>
      </c>
      <c r="O16" s="1862">
        <f t="shared" si="2"/>
        <v>122.63961</v>
      </c>
      <c r="P16" s="1863">
        <f t="shared" si="3"/>
        <v>599.97593500000005</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8"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116.90023333333332</v>
      </c>
      <c r="H19" s="1907">
        <f t="shared" si="4"/>
        <v>150.6276766666667</v>
      </c>
      <c r="I19" s="1907">
        <f t="shared" si="4"/>
        <v>153.47057666666669</v>
      </c>
      <c r="J19" s="1907">
        <f t="shared" si="4"/>
        <v>153.47057666666669</v>
      </c>
      <c r="K19" s="1907">
        <f t="shared" si="4"/>
        <v>153.47057666666669</v>
      </c>
      <c r="L19" s="1907">
        <f t="shared" si="4"/>
        <v>153.47057666666669</v>
      </c>
      <c r="M19" s="1907">
        <f t="shared" si="4"/>
        <v>150.6276766666667</v>
      </c>
      <c r="N19" s="1907">
        <f t="shared" si="4"/>
        <v>148.76744166666668</v>
      </c>
      <c r="O19" s="1907">
        <f>SUM(O10:O18)</f>
        <v>235.64557000000002</v>
      </c>
      <c r="P19" s="1908">
        <f t="shared" si="4"/>
        <v>1416.4509050000001</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8"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895.51103542841531</v>
      </c>
      <c r="H23" s="2899">
        <f t="shared" si="9"/>
        <v>895.69491670491811</v>
      </c>
      <c r="I23" s="2899">
        <f t="shared" si="9"/>
        <v>1120.1594939530055</v>
      </c>
      <c r="J23" s="2899">
        <f t="shared" si="9"/>
        <v>1128.402028180328</v>
      </c>
      <c r="K23" s="2899">
        <f t="shared" si="9"/>
        <v>1252.3469939530055</v>
      </c>
      <c r="L23" s="2899">
        <f t="shared" si="9"/>
        <v>1207.6594939530055</v>
      </c>
      <c r="M23" s="2899">
        <f t="shared" si="9"/>
        <v>1121.6455624076502</v>
      </c>
      <c r="N23" s="2899">
        <f t="shared" si="9"/>
        <v>1191.3469939530055</v>
      </c>
      <c r="O23" s="1862">
        <f t="shared" si="5"/>
        <v>3108.5199400000001</v>
      </c>
      <c r="P23" s="1863">
        <f t="shared" si="6"/>
        <v>11921.286458533334</v>
      </c>
      <c r="Q23" s="608"/>
      <c r="R23" s="3005" t="s">
        <v>1413</v>
      </c>
      <c r="S23" s="1329">
        <v>41.723300000000002</v>
      </c>
      <c r="T23" s="1326">
        <v>41.723309999999998</v>
      </c>
      <c r="U23" s="1326">
        <v>47.436300000000003</v>
      </c>
      <c r="V23" s="1326">
        <v>43.627630000000003</v>
      </c>
      <c r="W23" s="1326">
        <v>43.62764</v>
      </c>
      <c r="X23" s="1326">
        <v>43.62764</v>
      </c>
      <c r="Y23" s="1326">
        <v>43.62764</v>
      </c>
      <c r="Z23" s="1326">
        <v>43.62764</v>
      </c>
      <c r="AA23" s="1326">
        <v>43.62764</v>
      </c>
      <c r="AB23" s="1326">
        <v>43.62764</v>
      </c>
      <c r="AC23" s="1326">
        <v>43.62764</v>
      </c>
      <c r="AD23" s="1333">
        <v>43.62764</v>
      </c>
      <c r="AE23" s="1862">
        <f t="shared" si="7"/>
        <v>174.51053999999999</v>
      </c>
      <c r="AF23" s="1863">
        <f t="shared" si="8"/>
        <v>523.53165999999987</v>
      </c>
      <c r="AG23" s="80"/>
      <c r="AH23" s="80"/>
      <c r="AI23" s="80"/>
      <c r="AJ23" s="80"/>
    </row>
    <row r="24" spans="1:36">
      <c r="A24" s="1896">
        <f t="shared" si="1"/>
        <v>17</v>
      </c>
      <c r="B24" s="1905" t="s">
        <v>464</v>
      </c>
      <c r="C24" s="1330">
        <v>18.600000000000001</v>
      </c>
      <c r="D24" s="1325">
        <v>18.600000000000001</v>
      </c>
      <c r="E24" s="1325">
        <v>0</v>
      </c>
      <c r="F24" s="1325">
        <v>-7.3</v>
      </c>
      <c r="G24" s="1325">
        <v>49.29</v>
      </c>
      <c r="H24" s="1325">
        <v>164.05</v>
      </c>
      <c r="I24" s="1325">
        <v>0</v>
      </c>
      <c r="J24" s="1325">
        <v>0</v>
      </c>
      <c r="K24" s="1325">
        <v>164.05</v>
      </c>
      <c r="L24" s="1325">
        <v>0</v>
      </c>
      <c r="M24" s="1325">
        <v>0</v>
      </c>
      <c r="N24" s="1334">
        <v>164.05</v>
      </c>
      <c r="O24" s="1323">
        <f t="shared" si="5"/>
        <v>29.900000000000002</v>
      </c>
      <c r="P24" s="1324">
        <f t="shared" si="6"/>
        <v>571.34</v>
      </c>
      <c r="Q24" s="608"/>
      <c r="R24" s="2716" t="s">
        <v>1440</v>
      </c>
      <c r="S24" s="1329">
        <v>703.2559</v>
      </c>
      <c r="T24" s="1326">
        <v>611.93997999999999</v>
      </c>
      <c r="U24" s="1326">
        <v>706.86973999999998</v>
      </c>
      <c r="V24" s="1326">
        <v>537.04047000000003</v>
      </c>
      <c r="W24" s="1326">
        <v>569.81143162841522</v>
      </c>
      <c r="X24" s="1326">
        <v>551.43041770491811</v>
      </c>
      <c r="Y24" s="1326">
        <v>782.2788301530054</v>
      </c>
      <c r="Z24" s="1326">
        <v>757.04402918032781</v>
      </c>
      <c r="AA24" s="1326">
        <v>782.2788301530054</v>
      </c>
      <c r="AB24" s="1326">
        <v>782.2788301530054</v>
      </c>
      <c r="AC24" s="1326">
        <v>731.80922820765022</v>
      </c>
      <c r="AD24" s="1333">
        <v>782.2788301530054</v>
      </c>
      <c r="AE24" s="1862">
        <f t="shared" si="7"/>
        <v>2559.1060899999998</v>
      </c>
      <c r="AF24" s="1863">
        <f t="shared" si="8"/>
        <v>8298.3165173333327</v>
      </c>
      <c r="AG24" s="80"/>
      <c r="AH24" s="80"/>
      <c r="AI24" s="80"/>
      <c r="AJ24" s="80"/>
    </row>
    <row r="25" spans="1:36">
      <c r="A25" s="1896">
        <f t="shared" si="1"/>
        <v>18</v>
      </c>
      <c r="B25" s="1905" t="s">
        <v>465</v>
      </c>
      <c r="C25" s="1330"/>
      <c r="D25" s="1325"/>
      <c r="E25" s="1325"/>
      <c r="F25" s="1325"/>
      <c r="G25" s="1325"/>
      <c r="H25" s="1325">
        <v>50</v>
      </c>
      <c r="I25" s="1325"/>
      <c r="J25" s="1325"/>
      <c r="K25" s="1325"/>
      <c r="L25" s="1325"/>
      <c r="M25" s="1325"/>
      <c r="N25" s="1334">
        <v>50</v>
      </c>
      <c r="O25" s="1323">
        <f t="shared" si="5"/>
        <v>0</v>
      </c>
      <c r="P25" s="1324">
        <f t="shared" si="6"/>
        <v>100</v>
      </c>
      <c r="Q25" s="608"/>
      <c r="R25" s="2716" t="s">
        <v>1441</v>
      </c>
      <c r="S25" s="1330">
        <v>5.5058199999999999</v>
      </c>
      <c r="T25" s="1325">
        <v>26.419170000000001</v>
      </c>
      <c r="U25" s="1325">
        <v>9.1497100000000007</v>
      </c>
      <c r="V25" s="1325">
        <v>39.150959999999998</v>
      </c>
      <c r="W25" s="1325">
        <v>20.056415000000001</v>
      </c>
      <c r="X25" s="1325">
        <v>20.056415000000001</v>
      </c>
      <c r="Y25" s="1325">
        <v>20.056415000000001</v>
      </c>
      <c r="Z25" s="1325">
        <v>20.056415000000001</v>
      </c>
      <c r="AA25" s="1325">
        <v>20.056415000000001</v>
      </c>
      <c r="AB25" s="1325">
        <v>20.056415000000001</v>
      </c>
      <c r="AC25" s="1325">
        <v>20.056415000000001</v>
      </c>
      <c r="AD25" s="1334">
        <v>20.056415000000001</v>
      </c>
      <c r="AE25" s="1323">
        <f t="shared" si="7"/>
        <v>80.225660000000005</v>
      </c>
      <c r="AF25" s="1324">
        <f t="shared" si="8"/>
        <v>240.67698000000007</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8.5999999999999993E-2</v>
      </c>
      <c r="X26" s="1325">
        <v>8.3000000000000004E-2</v>
      </c>
      <c r="Y26" s="1325">
        <v>0.11799999999999999</v>
      </c>
      <c r="Z26" s="1325">
        <v>0.114</v>
      </c>
      <c r="AA26" s="1325">
        <v>0.11799999999999999</v>
      </c>
      <c r="AB26" s="1325">
        <v>0.11799999999999999</v>
      </c>
      <c r="AC26" s="1325">
        <v>0.111</v>
      </c>
      <c r="AD26" s="1334">
        <v>0.11799999999999999</v>
      </c>
      <c r="AE26" s="1323">
        <f t="shared" si="7"/>
        <v>6.1357799999999996</v>
      </c>
      <c r="AF26" s="1324">
        <f t="shared" si="8"/>
        <v>7.001780000000001</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233.07860880000001</v>
      </c>
      <c r="X27" s="1325">
        <v>225.55994400000003</v>
      </c>
      <c r="Y27" s="1325">
        <v>233.07860880000001</v>
      </c>
      <c r="Z27" s="1325">
        <v>225.55994400000003</v>
      </c>
      <c r="AA27" s="1325">
        <v>279.57860880000004</v>
      </c>
      <c r="AB27" s="1325">
        <v>279.57860880000004</v>
      </c>
      <c r="AC27" s="1325">
        <v>264.54127919999996</v>
      </c>
      <c r="AD27" s="1334">
        <v>280.07860880000004</v>
      </c>
      <c r="AE27" s="1323">
        <f t="shared" si="7"/>
        <v>183.83624</v>
      </c>
      <c r="AF27" s="1324">
        <f t="shared" si="8"/>
        <v>2204.8904511999999</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10.25</v>
      </c>
      <c r="X28" s="1325">
        <v>30.75</v>
      </c>
      <c r="Y28" s="1325">
        <v>41</v>
      </c>
      <c r="Z28" s="1325">
        <v>82</v>
      </c>
      <c r="AA28" s="1325">
        <v>102.5</v>
      </c>
      <c r="AB28" s="1325">
        <v>82</v>
      </c>
      <c r="AC28" s="1325">
        <v>61.5</v>
      </c>
      <c r="AD28" s="1334">
        <v>41</v>
      </c>
      <c r="AE28" s="1323">
        <f t="shared" si="7"/>
        <v>100.28483</v>
      </c>
      <c r="AF28" s="1324">
        <f t="shared" si="8"/>
        <v>551.28483000000006</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18.600940000000001</v>
      </c>
      <c r="X29" s="2494">
        <v>24.1875</v>
      </c>
      <c r="Y29" s="2494">
        <v>0</v>
      </c>
      <c r="Z29" s="2494">
        <v>0</v>
      </c>
      <c r="AA29" s="2494">
        <v>24.1875</v>
      </c>
      <c r="AB29" s="2494">
        <v>0</v>
      </c>
      <c r="AC29" s="2494">
        <v>0</v>
      </c>
      <c r="AD29" s="2495">
        <v>24.1875</v>
      </c>
      <c r="AE29" s="2372">
        <f t="shared" si="7"/>
        <v>4.4208000000000007</v>
      </c>
      <c r="AF29" s="2496">
        <f t="shared" si="8"/>
        <v>95.584239999999994</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c r="S30" s="2493"/>
      <c r="T30" s="2494"/>
      <c r="U30" s="2494"/>
      <c r="V30" s="2494"/>
      <c r="W30" s="2494"/>
      <c r="X30" s="2494"/>
      <c r="Y30" s="2494"/>
      <c r="Z30" s="2494"/>
      <c r="AA30" s="2494"/>
      <c r="AB30" s="2494"/>
      <c r="AC30" s="2494"/>
      <c r="AD30" s="2495"/>
      <c r="AE30" s="2372">
        <f t="shared" si="7"/>
        <v>0</v>
      </c>
      <c r="AF30" s="2496">
        <f t="shared" si="8"/>
        <v>0</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c r="S31" s="2493"/>
      <c r="T31" s="2494"/>
      <c r="U31" s="2494"/>
      <c r="V31" s="2494"/>
      <c r="W31" s="2494"/>
      <c r="X31" s="2494"/>
      <c r="Y31" s="2494"/>
      <c r="Z31" s="2494"/>
      <c r="AA31" s="2494"/>
      <c r="AB31" s="2494"/>
      <c r="AC31" s="2494"/>
      <c r="AD31" s="2495"/>
      <c r="AE31" s="2372">
        <f t="shared" si="7"/>
        <v>0</v>
      </c>
      <c r="AF31" s="2496">
        <f t="shared" si="8"/>
        <v>0</v>
      </c>
      <c r="AG31" s="80"/>
      <c r="AH31" s="80"/>
      <c r="AI31" s="80"/>
      <c r="AJ31" s="80"/>
    </row>
    <row r="32" spans="1:36" ht="13.8"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c r="S32" s="2493"/>
      <c r="T32" s="2494"/>
      <c r="U32" s="2494"/>
      <c r="V32" s="2494"/>
      <c r="W32" s="2494"/>
      <c r="X32" s="2494"/>
      <c r="Y32" s="2494"/>
      <c r="Z32" s="2494"/>
      <c r="AA32" s="2494"/>
      <c r="AB32" s="2494"/>
      <c r="AC32" s="2494"/>
      <c r="AD32" s="2495"/>
      <c r="AE32" s="2372">
        <f t="shared" si="7"/>
        <v>0</v>
      </c>
      <c r="AF32" s="2496">
        <f t="shared" si="8"/>
        <v>0</v>
      </c>
      <c r="AG32" s="80"/>
      <c r="AH32" s="80"/>
      <c r="AI32" s="80"/>
      <c r="AJ32" s="80"/>
    </row>
    <row r="33" spans="1:36" ht="13.8"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944.80103542841528</v>
      </c>
      <c r="H33" s="1907">
        <f t="shared" si="10"/>
        <v>1109.7449167049181</v>
      </c>
      <c r="I33" s="1907">
        <f t="shared" si="10"/>
        <v>1120.1594939530055</v>
      </c>
      <c r="J33" s="1907">
        <f t="shared" si="10"/>
        <v>1128.402028180328</v>
      </c>
      <c r="K33" s="1907">
        <f t="shared" si="10"/>
        <v>1416.3969939530054</v>
      </c>
      <c r="L33" s="1907">
        <f t="shared" si="10"/>
        <v>1207.6594939530055</v>
      </c>
      <c r="M33" s="1907">
        <f t="shared" si="10"/>
        <v>1121.6455624076502</v>
      </c>
      <c r="N33" s="1907">
        <f t="shared" si="10"/>
        <v>1405.3969939530054</v>
      </c>
      <c r="O33" s="1907">
        <f>SUM(O20:O32)</f>
        <v>3138.4199400000002</v>
      </c>
      <c r="P33" s="1907">
        <f>SUM(P20:P32)</f>
        <v>12592.626458533334</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8"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1061.7012687617487</v>
      </c>
      <c r="H34" s="1340">
        <f t="shared" si="11"/>
        <v>1260.3725933715848</v>
      </c>
      <c r="I34" s="1340">
        <f t="shared" si="11"/>
        <v>1273.6300706196721</v>
      </c>
      <c r="J34" s="1340">
        <f t="shared" si="11"/>
        <v>1281.8726048469946</v>
      </c>
      <c r="K34" s="1340">
        <f t="shared" si="11"/>
        <v>1569.8675706196721</v>
      </c>
      <c r="L34" s="1340">
        <f t="shared" si="11"/>
        <v>1361.1300706196721</v>
      </c>
      <c r="M34" s="1340">
        <f t="shared" si="11"/>
        <v>1272.273239074317</v>
      </c>
      <c r="N34" s="1912">
        <f t="shared" si="11"/>
        <v>1554.1644356196721</v>
      </c>
      <c r="O34" s="1340">
        <f t="shared" si="11"/>
        <v>3374.0655100000004</v>
      </c>
      <c r="P34" s="1866">
        <f t="shared" si="11"/>
        <v>14009.077363533333</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895.51103542841531</v>
      </c>
      <c r="X34" s="1907">
        <f t="shared" si="12"/>
        <v>895.69491670491811</v>
      </c>
      <c r="Y34" s="1907">
        <f t="shared" si="12"/>
        <v>1120.1594939530055</v>
      </c>
      <c r="Z34" s="1907">
        <f t="shared" si="12"/>
        <v>1128.402028180328</v>
      </c>
      <c r="AA34" s="1907">
        <f t="shared" si="12"/>
        <v>1252.3469939530055</v>
      </c>
      <c r="AB34" s="1907">
        <f t="shared" si="12"/>
        <v>1207.6594939530055</v>
      </c>
      <c r="AC34" s="1907">
        <f t="shared" si="12"/>
        <v>1121.6455624076502</v>
      </c>
      <c r="AD34" s="1907">
        <f t="shared" si="12"/>
        <v>1191.3469939530055</v>
      </c>
      <c r="AE34" s="1907">
        <f>SUM(AE21:AE33)</f>
        <v>3108.5199399999997</v>
      </c>
      <c r="AF34" s="1907">
        <f>SUM(AF21:AF33)</f>
        <v>11921.286458533334</v>
      </c>
      <c r="AG34" s="80"/>
      <c r="AH34" s="80"/>
      <c r="AI34" s="80"/>
      <c r="AJ34" s="80"/>
    </row>
    <row r="35" spans="1:36" ht="13.8"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8"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4361.8313618824204</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8"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-45.984219359339022</v>
      </c>
      <c r="H37" s="1907">
        <f t="shared" si="13"/>
        <v>211.88757303934926</v>
      </c>
      <c r="I37" s="1907">
        <f t="shared" si="13"/>
        <v>-1.9093084823396111</v>
      </c>
      <c r="J37" s="1907">
        <f t="shared" si="13"/>
        <v>-4.9314138538773022</v>
      </c>
      <c r="K37" s="1907">
        <f t="shared" si="13"/>
        <v>231.41058318432692</v>
      </c>
      <c r="L37" s="1907">
        <f t="shared" si="13"/>
        <v>-51.409308482339611</v>
      </c>
      <c r="M37" s="1907">
        <f t="shared" si="13"/>
        <v>-66.42857422541465</v>
      </c>
      <c r="N37" s="1907">
        <f t="shared" si="13"/>
        <v>170.52145040654909</v>
      </c>
      <c r="O37" s="1907">
        <f t="shared" si="13"/>
        <v>987.76585188242007</v>
      </c>
      <c r="P37" s="1908">
        <f t="shared" si="13"/>
        <v>1430.9226341093363</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8"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4361.8311318824199</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1061.7012687617487</v>
      </c>
      <c r="H42" s="1325">
        <v>1260.3725933715848</v>
      </c>
      <c r="I42" s="1325">
        <v>1273.6300706196721</v>
      </c>
      <c r="J42" s="1325">
        <v>1281.8726048469946</v>
      </c>
      <c r="K42" s="1325">
        <v>1569.8675706196721</v>
      </c>
      <c r="L42" s="1325">
        <v>1361.1300706196721</v>
      </c>
      <c r="M42" s="1325">
        <v>1272.273239074317</v>
      </c>
      <c r="N42" s="2727">
        <v>1554.1644356196721</v>
      </c>
      <c r="O42" s="1323">
        <f t="shared" ref="O42:O44" si="14">SUMPRODUCT($C$4:$N$4,C42:N42)</f>
        <v>3374.0655100000004</v>
      </c>
      <c r="P42" s="1324">
        <f t="shared" ref="P42:P44" si="15">SUM(C42:N42)</f>
        <v>14009.077363533333</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1061.7012687617487</v>
      </c>
      <c r="H44" s="2730">
        <f t="shared" si="16"/>
        <v>1260.3725933715848</v>
      </c>
      <c r="I44" s="2730">
        <f t="shared" si="16"/>
        <v>1273.6300706196721</v>
      </c>
      <c r="J44" s="2730">
        <f t="shared" si="16"/>
        <v>1281.8726048469946</v>
      </c>
      <c r="K44" s="2730">
        <f t="shared" si="16"/>
        <v>1569.8675706196721</v>
      </c>
      <c r="L44" s="2730">
        <f t="shared" si="16"/>
        <v>1361.1300706196721</v>
      </c>
      <c r="M44" s="2730">
        <f t="shared" si="16"/>
        <v>1272.273239074317</v>
      </c>
      <c r="N44" s="2731">
        <f t="shared" si="16"/>
        <v>1554.1644356196721</v>
      </c>
      <c r="O44" s="2732">
        <f t="shared" si="14"/>
        <v>3374.0655100000004</v>
      </c>
      <c r="P44" s="2733">
        <f t="shared" si="15"/>
        <v>14009.077363533333</v>
      </c>
      <c r="Q44" s="608"/>
      <c r="R44" s="608"/>
      <c r="S44" s="608"/>
      <c r="T44" s="839"/>
      <c r="U44" s="80"/>
      <c r="V44" s="80"/>
      <c r="W44" s="80"/>
      <c r="X44" s="80"/>
      <c r="Y44" s="80"/>
      <c r="Z44" s="80"/>
      <c r="AA44" s="80"/>
      <c r="AB44" s="80"/>
      <c r="AC44" s="80"/>
      <c r="AD44" s="80"/>
      <c r="AE44" s="80"/>
      <c r="AF44" s="1115"/>
      <c r="AG44" s="80"/>
      <c r="AH44" s="80"/>
      <c r="AI44" s="80"/>
      <c r="AJ44" s="80"/>
    </row>
    <row r="45" spans="1:36" ht="13.8"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45.984219359339022</v>
      </c>
      <c r="H45" s="2734">
        <f t="shared" si="17"/>
        <v>-211.88757303934926</v>
      </c>
      <c r="I45" s="2734">
        <f t="shared" si="17"/>
        <v>1.9093084823396111</v>
      </c>
      <c r="J45" s="2734">
        <f t="shared" si="17"/>
        <v>4.9314138538773022</v>
      </c>
      <c r="K45" s="2734">
        <f t="shared" si="17"/>
        <v>-231.41058318432692</v>
      </c>
      <c r="L45" s="2734">
        <f t="shared" si="17"/>
        <v>51.409308482339611</v>
      </c>
      <c r="M45" s="2734">
        <f t="shared" si="17"/>
        <v>66.42857422541465</v>
      </c>
      <c r="N45" s="2735">
        <f t="shared" si="17"/>
        <v>-170.52145040654909</v>
      </c>
      <c r="O45" s="2760">
        <f t="shared" si="17"/>
        <v>-987.76562188241951</v>
      </c>
      <c r="P45" s="2760">
        <f t="shared" si="17"/>
        <v>-1430.9224041093348</v>
      </c>
      <c r="Q45" s="608"/>
      <c r="R45" s="608"/>
      <c r="S45" s="608"/>
      <c r="T45" s="839"/>
      <c r="U45" s="80"/>
      <c r="V45" s="80"/>
      <c r="W45" s="80"/>
      <c r="X45" s="80"/>
      <c r="Y45" s="80"/>
      <c r="Z45" s="80"/>
      <c r="AA45" s="80"/>
      <c r="AB45" s="80"/>
      <c r="AC45" s="80"/>
      <c r="AD45" s="80"/>
      <c r="AE45" s="80"/>
      <c r="AF45" s="1115"/>
      <c r="AG45" s="80"/>
      <c r="AH45" s="80"/>
      <c r="AI45" s="80"/>
      <c r="AJ45" s="80"/>
    </row>
    <row r="46" spans="1:36" ht="13.8"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8"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8"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8"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61.801583333333333</v>
      </c>
      <c r="H53" s="1903">
        <v>61.801583333333333</v>
      </c>
      <c r="I53" s="1903">
        <v>61.801583333333333</v>
      </c>
      <c r="J53" s="1903">
        <v>61.801583333333333</v>
      </c>
      <c r="K53" s="1903">
        <v>61.801583333333333</v>
      </c>
      <c r="L53" s="1903">
        <v>61.801583333333333</v>
      </c>
      <c r="M53" s="1903">
        <v>61.801583333333333</v>
      </c>
      <c r="N53" s="1904">
        <v>61.801583333333333</v>
      </c>
      <c r="O53" s="1862">
        <f t="shared" ref="O53:O61" si="19">SUMPRODUCT($C$4:$N$4,C53:N53)</f>
        <v>197.08928</v>
      </c>
      <c r="P53" s="1863">
        <f t="shared" ref="P53:P61" si="20">SUM(C53:N53)</f>
        <v>691.50194666666675</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c r="D55" s="1326"/>
      <c r="E55" s="1326"/>
      <c r="F55" s="1326"/>
      <c r="G55" s="1326"/>
      <c r="H55" s="1326"/>
      <c r="I55" s="1326"/>
      <c r="J55" s="1326"/>
      <c r="K55" s="1326"/>
      <c r="L55" s="1326"/>
      <c r="M55" s="1326"/>
      <c r="N55" s="1333"/>
      <c r="O55" s="1862">
        <f t="shared" si="19"/>
        <v>0</v>
      </c>
      <c r="P55" s="1863">
        <f t="shared" si="20"/>
        <v>0</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17.830416666666668</v>
      </c>
      <c r="H59" s="1326">
        <v>17.830416666666668</v>
      </c>
      <c r="I59" s="1326">
        <v>17.830416666666668</v>
      </c>
      <c r="J59" s="1326">
        <v>17.830416666666668</v>
      </c>
      <c r="K59" s="1326">
        <v>17.830416666666668</v>
      </c>
      <c r="L59" s="1326">
        <v>17.830416666666668</v>
      </c>
      <c r="M59" s="1326">
        <v>17.830416666666668</v>
      </c>
      <c r="N59" s="1333">
        <v>17.830416666666668</v>
      </c>
      <c r="O59" s="1862">
        <f t="shared" si="19"/>
        <v>77.817679999999996</v>
      </c>
      <c r="P59" s="1863">
        <f t="shared" si="20"/>
        <v>220.4610133333334</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8"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8"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79.632000000000005</v>
      </c>
      <c r="H62" s="1907">
        <f t="shared" si="21"/>
        <v>79.632000000000005</v>
      </c>
      <c r="I62" s="1907">
        <f t="shared" si="21"/>
        <v>79.632000000000005</v>
      </c>
      <c r="J62" s="1907">
        <f t="shared" si="21"/>
        <v>79.632000000000005</v>
      </c>
      <c r="K62" s="1907">
        <f t="shared" si="21"/>
        <v>79.632000000000005</v>
      </c>
      <c r="L62" s="1907">
        <f t="shared" si="21"/>
        <v>79.632000000000005</v>
      </c>
      <c r="M62" s="1907">
        <f t="shared" si="21"/>
        <v>79.632000000000005</v>
      </c>
      <c r="N62" s="1907">
        <f t="shared" si="21"/>
        <v>79.632000000000005</v>
      </c>
      <c r="O62" s="1907">
        <f t="shared" si="21"/>
        <v>274.90696000000003</v>
      </c>
      <c r="P62" s="1908">
        <f t="shared" si="21"/>
        <v>911.96296000000018</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44.975999999999999</v>
      </c>
      <c r="H66" s="1326">
        <v>104.976</v>
      </c>
      <c r="I66" s="1326">
        <v>117.476</v>
      </c>
      <c r="J66" s="1326">
        <v>57.475999999999999</v>
      </c>
      <c r="K66" s="1326">
        <v>32.475999999999999</v>
      </c>
      <c r="L66" s="1326">
        <v>32.475999999999999</v>
      </c>
      <c r="M66" s="1326">
        <v>33.337000000000003</v>
      </c>
      <c r="N66" s="1333">
        <v>33.342059999999996</v>
      </c>
      <c r="O66" s="1862">
        <f t="shared" si="22"/>
        <v>121.50198</v>
      </c>
      <c r="P66" s="1863">
        <f t="shared" si="23"/>
        <v>578.03703999999993</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8"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8"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44.975999999999999</v>
      </c>
      <c r="H76" s="1907">
        <f t="shared" si="24"/>
        <v>104.976</v>
      </c>
      <c r="I76" s="1907">
        <f t="shared" si="24"/>
        <v>117.476</v>
      </c>
      <c r="J76" s="1907">
        <f t="shared" si="24"/>
        <v>57.475999999999999</v>
      </c>
      <c r="K76" s="1907">
        <f t="shared" si="24"/>
        <v>32.475999999999999</v>
      </c>
      <c r="L76" s="1907">
        <f t="shared" si="24"/>
        <v>32.475999999999999</v>
      </c>
      <c r="M76" s="1907">
        <f t="shared" si="24"/>
        <v>33.337000000000003</v>
      </c>
      <c r="N76" s="1907">
        <f t="shared" si="24"/>
        <v>33.342059999999996</v>
      </c>
      <c r="O76" s="1907">
        <f t="shared" si="24"/>
        <v>121.50198</v>
      </c>
      <c r="P76" s="1907">
        <f t="shared" si="24"/>
        <v>578.03703999999993</v>
      </c>
      <c r="Q76" s="608"/>
      <c r="R76" s="608"/>
      <c r="S76" s="608"/>
      <c r="T76" s="839"/>
      <c r="U76" s="80"/>
      <c r="V76" s="80"/>
      <c r="W76" s="80"/>
      <c r="X76" s="80"/>
      <c r="Y76" s="80"/>
      <c r="Z76" s="80"/>
      <c r="AA76" s="80"/>
      <c r="AB76" s="80"/>
      <c r="AC76" s="80"/>
      <c r="AD76" s="80"/>
      <c r="AE76" s="80"/>
      <c r="AF76" s="1115"/>
      <c r="AG76" s="80"/>
      <c r="AH76" s="80"/>
      <c r="AI76" s="80"/>
      <c r="AJ76" s="80"/>
    </row>
    <row r="77" spans="1:36" ht="13.8"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124.608</v>
      </c>
      <c r="H77" s="1340">
        <f t="shared" si="25"/>
        <v>184.608</v>
      </c>
      <c r="I77" s="1340">
        <f t="shared" si="25"/>
        <v>197.108</v>
      </c>
      <c r="J77" s="1340">
        <f t="shared" si="25"/>
        <v>137.108</v>
      </c>
      <c r="K77" s="1340">
        <f t="shared" si="25"/>
        <v>112.108</v>
      </c>
      <c r="L77" s="1340">
        <f t="shared" si="25"/>
        <v>112.108</v>
      </c>
      <c r="M77" s="1340">
        <f t="shared" si="25"/>
        <v>112.96900000000001</v>
      </c>
      <c r="N77" s="1912">
        <f t="shared" si="25"/>
        <v>112.97406000000001</v>
      </c>
      <c r="O77" s="1340">
        <f t="shared" si="25"/>
        <v>396.40894000000003</v>
      </c>
      <c r="P77" s="1866">
        <f t="shared" si="25"/>
        <v>1490</v>
      </c>
      <c r="Q77" s="608"/>
      <c r="R77" s="608"/>
      <c r="S77" s="608"/>
      <c r="T77" s="839"/>
      <c r="U77" s="80"/>
      <c r="V77" s="80"/>
      <c r="W77" s="80"/>
      <c r="X77" s="80"/>
      <c r="Y77" s="80"/>
      <c r="Z77" s="80"/>
      <c r="AA77" s="80"/>
      <c r="AB77" s="80"/>
      <c r="AC77" s="80"/>
      <c r="AD77" s="80"/>
      <c r="AE77" s="80"/>
      <c r="AF77" s="1115"/>
      <c r="AG77" s="80"/>
      <c r="AH77" s="80"/>
      <c r="AI77" s="80"/>
      <c r="AJ77" s="80"/>
    </row>
    <row r="78" spans="1:36" ht="13.8"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8"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385.08031454545448</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8"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-5.0808151515151678</v>
      </c>
      <c r="H80" s="1907">
        <f t="shared" si="26"/>
        <v>-5.0808151515151678</v>
      </c>
      <c r="I80" s="1907">
        <f t="shared" si="26"/>
        <v>-30.080815151515168</v>
      </c>
      <c r="J80" s="1907">
        <f t="shared" si="26"/>
        <v>-30.080815151515168</v>
      </c>
      <c r="K80" s="1907">
        <f t="shared" si="26"/>
        <v>-5.0808151515151678</v>
      </c>
      <c r="L80" s="1907">
        <f t="shared" si="26"/>
        <v>-5.0808151515151678</v>
      </c>
      <c r="M80" s="1907">
        <f t="shared" si="26"/>
        <v>45.909289848484846</v>
      </c>
      <c r="N80" s="1907">
        <f t="shared" si="26"/>
        <v>45.904229848484846</v>
      </c>
      <c r="O80" s="1907">
        <f t="shared" si="26"/>
        <v>-11.328625454545545</v>
      </c>
      <c r="P80" s="1908">
        <f t="shared" si="26"/>
        <v>3.3333333249174757E-6</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8"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385.0803545454545</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 customHeight="1">
      <c r="A85" s="2723">
        <f t="shared" si="1"/>
        <v>59</v>
      </c>
      <c r="B85" s="2726" t="s">
        <v>1355</v>
      </c>
      <c r="C85" s="1330">
        <v>60.311999999999998</v>
      </c>
      <c r="D85" s="1325">
        <v>89.321359999999999</v>
      </c>
      <c r="E85" s="1325">
        <v>82.17770999999999</v>
      </c>
      <c r="F85" s="1325">
        <v>164.59791000000001</v>
      </c>
      <c r="G85" s="1325">
        <v>124.608</v>
      </c>
      <c r="H85" s="1325">
        <v>184.608</v>
      </c>
      <c r="I85" s="1325">
        <v>197.108</v>
      </c>
      <c r="J85" s="1325">
        <v>137.108</v>
      </c>
      <c r="K85" s="1325">
        <v>112.108</v>
      </c>
      <c r="L85" s="1325">
        <v>112.108</v>
      </c>
      <c r="M85" s="1325">
        <v>112.96900000000001</v>
      </c>
      <c r="N85" s="1334">
        <v>112.97406000000001</v>
      </c>
      <c r="O85" s="1323">
        <f t="shared" si="27"/>
        <v>396.40897999999999</v>
      </c>
      <c r="P85" s="1324">
        <f t="shared" si="28"/>
        <v>1490.0000399999999</v>
      </c>
      <c r="Q85" s="608"/>
      <c r="R85" s="608"/>
      <c r="S85" s="608"/>
      <c r="T85" s="839"/>
      <c r="U85" s="80"/>
      <c r="V85" s="80"/>
      <c r="W85" s="80"/>
      <c r="X85" s="80"/>
      <c r="Y85" s="80"/>
      <c r="Z85" s="80"/>
      <c r="AA85" s="80"/>
      <c r="AB85" s="80"/>
      <c r="AC85" s="80"/>
      <c r="AD85" s="80"/>
      <c r="AE85" s="80"/>
      <c r="AF85" s="1115"/>
      <c r="AG85" s="80"/>
      <c r="AH85" s="80"/>
      <c r="AI85" s="80"/>
      <c r="AJ85" s="80"/>
    </row>
    <row r="86" spans="1:36" ht="17.7"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124.608</v>
      </c>
      <c r="H87" s="2730">
        <f t="shared" ref="H87" si="33">H85+H86</f>
        <v>184.608</v>
      </c>
      <c r="I87" s="2730">
        <f t="shared" ref="I87" si="34">I85+I86</f>
        <v>197.108</v>
      </c>
      <c r="J87" s="2730">
        <f t="shared" ref="J87" si="35">J85+J86</f>
        <v>137.108</v>
      </c>
      <c r="K87" s="2730">
        <f t="shared" ref="K87" si="36">K85+K86</f>
        <v>112.108</v>
      </c>
      <c r="L87" s="2730">
        <f t="shared" ref="L87" si="37">L85+L86</f>
        <v>112.108</v>
      </c>
      <c r="M87" s="2730">
        <f t="shared" ref="M87" si="38">M85+M86</f>
        <v>112.96900000000001</v>
      </c>
      <c r="N87" s="2765">
        <f t="shared" ref="N87" si="39">N85+N86</f>
        <v>112.97406000000001</v>
      </c>
      <c r="O87" s="1338">
        <f t="shared" si="27"/>
        <v>396.40897999999999</v>
      </c>
      <c r="P87" s="1339">
        <f t="shared" si="28"/>
        <v>1490.0000399999999</v>
      </c>
      <c r="Q87" s="608"/>
      <c r="R87" s="608"/>
      <c r="S87" s="608"/>
      <c r="T87" s="839"/>
      <c r="U87" s="80"/>
      <c r="V87" s="80"/>
      <c r="W87" s="80"/>
      <c r="X87" s="80"/>
      <c r="Y87" s="80"/>
      <c r="Z87" s="80"/>
      <c r="AA87" s="80"/>
      <c r="AB87" s="80"/>
      <c r="AC87" s="80"/>
      <c r="AD87" s="80"/>
      <c r="AE87" s="80"/>
      <c r="AF87" s="1115"/>
      <c r="AG87" s="80"/>
      <c r="AH87" s="80"/>
      <c r="AI87" s="80"/>
      <c r="AJ87" s="80"/>
    </row>
    <row r="88" spans="1:36" ht="17.7"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5.0808151515151678</v>
      </c>
      <c r="H88" s="2734">
        <f t="shared" ref="H88" si="44">H87-H84</f>
        <v>5.0808151515151678</v>
      </c>
      <c r="I88" s="2734">
        <f t="shared" ref="I88" si="45">I87-I84</f>
        <v>30.080815151515168</v>
      </c>
      <c r="J88" s="2734">
        <f t="shared" ref="J88" si="46">J87-J84</f>
        <v>30.080815151515168</v>
      </c>
      <c r="K88" s="2734">
        <f t="shared" ref="K88" si="47">K87-K84</f>
        <v>5.0808151515151678</v>
      </c>
      <c r="L88" s="2734">
        <f t="shared" ref="L88" si="48">L87-L84</f>
        <v>5.0808151515151678</v>
      </c>
      <c r="M88" s="2734">
        <f t="shared" ref="M88" si="49">M87-M84</f>
        <v>-45.909289848484846</v>
      </c>
      <c r="N88" s="2764">
        <f t="shared" ref="N88:P88" si="50">N87-N84</f>
        <v>-45.904229848484846</v>
      </c>
      <c r="O88" s="2758">
        <f t="shared" si="50"/>
        <v>11.328625454545488</v>
      </c>
      <c r="P88" s="2760">
        <f t="shared" si="50"/>
        <v>-3.3333333249174757E-6</v>
      </c>
      <c r="Q88" s="608"/>
      <c r="R88" s="608"/>
      <c r="S88" s="608"/>
      <c r="T88" s="839"/>
      <c r="U88" s="80"/>
      <c r="V88" s="80"/>
      <c r="W88" s="80"/>
      <c r="X88" s="80"/>
      <c r="Y88" s="80"/>
      <c r="Z88" s="80"/>
      <c r="AA88" s="80"/>
      <c r="AB88" s="80"/>
      <c r="AC88" s="80"/>
      <c r="AD88" s="80"/>
      <c r="AE88" s="80"/>
      <c r="AF88" s="1115"/>
      <c r="AG88" s="80"/>
      <c r="AH88" s="80"/>
      <c r="AI88" s="80"/>
      <c r="AJ88" s="80"/>
    </row>
    <row r="89" spans="1:36" ht="17.7"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3.9999999955853127E-5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8"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8"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8"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8"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8"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8"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8"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8"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8"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8"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8"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8"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4746.9116764278751</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1186.3092687617486</v>
      </c>
      <c r="H148" s="2739">
        <f t="shared" si="93"/>
        <v>1444.9805933715847</v>
      </c>
      <c r="I148" s="2739">
        <f t="shared" si="93"/>
        <v>1470.738070619672</v>
      </c>
      <c r="J148" s="2739">
        <f t="shared" si="93"/>
        <v>1418.9806048469945</v>
      </c>
      <c r="K148" s="2739">
        <f t="shared" si="93"/>
        <v>1681.975570619672</v>
      </c>
      <c r="L148" s="2739">
        <f t="shared" si="93"/>
        <v>1473.238070619672</v>
      </c>
      <c r="M148" s="2739">
        <f t="shared" si="93"/>
        <v>1385.242239074317</v>
      </c>
      <c r="N148" s="2739">
        <f t="shared" si="93"/>
        <v>1667.1384956196721</v>
      </c>
      <c r="O148" s="1323">
        <f t="shared" si="90"/>
        <v>3770.4744500000002</v>
      </c>
      <c r="P148" s="1324">
        <f t="shared" si="91"/>
        <v>15499.077363533335</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-51.065034510854048</v>
      </c>
      <c r="H149" s="2741">
        <f t="shared" si="94"/>
        <v>206.80675788783424</v>
      </c>
      <c r="I149" s="2741">
        <f t="shared" si="94"/>
        <v>-31.990123633854637</v>
      </c>
      <c r="J149" s="2741">
        <f t="shared" si="94"/>
        <v>-35.012229005392328</v>
      </c>
      <c r="K149" s="2741">
        <f t="shared" si="94"/>
        <v>226.3297680328119</v>
      </c>
      <c r="L149" s="2741">
        <f t="shared" si="94"/>
        <v>-56.490123633854637</v>
      </c>
      <c r="M149" s="2741">
        <f t="shared" si="94"/>
        <v>-20.519284376929818</v>
      </c>
      <c r="N149" s="2741">
        <f t="shared" si="94"/>
        <v>216.42568025503397</v>
      </c>
      <c r="O149" s="1366">
        <f t="shared" si="90"/>
        <v>976.43722642787452</v>
      </c>
      <c r="P149" s="1367">
        <f t="shared" si="91"/>
        <v>1430.9226374426692</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4746.9114864278745</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1186.3092687617486</v>
      </c>
      <c r="H152" s="2750">
        <f t="shared" si="96"/>
        <v>1444.9805933715847</v>
      </c>
      <c r="I152" s="2750">
        <f t="shared" si="96"/>
        <v>1470.738070619672</v>
      </c>
      <c r="J152" s="2750">
        <f t="shared" si="96"/>
        <v>1418.9806048469945</v>
      </c>
      <c r="K152" s="2750">
        <f t="shared" si="96"/>
        <v>1681.975570619672</v>
      </c>
      <c r="L152" s="2750">
        <f t="shared" si="96"/>
        <v>1473.238070619672</v>
      </c>
      <c r="M152" s="2750">
        <f t="shared" si="96"/>
        <v>1385.242239074317</v>
      </c>
      <c r="N152" s="2751">
        <f t="shared" si="96"/>
        <v>1667.1384956196721</v>
      </c>
      <c r="O152" s="1323">
        <f t="shared" ref="O152:O154" si="97">SUMPRODUCT($C$4:$N$4,C152:N152)</f>
        <v>3770.4744900000001</v>
      </c>
      <c r="P152" s="1324">
        <f t="shared" ref="P152:P154" si="98">SUM(C152:N152)</f>
        <v>15499.077403533334</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1186.3092687617486</v>
      </c>
      <c r="H154" s="2754">
        <f t="shared" si="100"/>
        <v>1444.9805933715847</v>
      </c>
      <c r="I154" s="2754">
        <f t="shared" si="100"/>
        <v>1470.738070619672</v>
      </c>
      <c r="J154" s="2754">
        <f t="shared" si="100"/>
        <v>1418.9806048469945</v>
      </c>
      <c r="K154" s="2754">
        <f t="shared" si="100"/>
        <v>1681.975570619672</v>
      </c>
      <c r="L154" s="2754">
        <f t="shared" si="100"/>
        <v>1473.238070619672</v>
      </c>
      <c r="M154" s="2754">
        <f t="shared" si="100"/>
        <v>1385.242239074317</v>
      </c>
      <c r="N154" s="2755">
        <f t="shared" si="100"/>
        <v>1667.1384956196721</v>
      </c>
      <c r="O154" s="1323">
        <f t="shared" si="97"/>
        <v>3770.4744900000001</v>
      </c>
      <c r="P154" s="1324">
        <f t="shared" si="98"/>
        <v>15499.077403533334</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51.065034510854048</v>
      </c>
      <c r="H155" s="2759">
        <f t="shared" si="101"/>
        <v>-206.80675788783424</v>
      </c>
      <c r="I155" s="2759">
        <f t="shared" si="101"/>
        <v>31.990123633854637</v>
      </c>
      <c r="J155" s="2759">
        <f t="shared" si="101"/>
        <v>35.012229005392328</v>
      </c>
      <c r="K155" s="2759">
        <f t="shared" si="101"/>
        <v>-226.3297680328119</v>
      </c>
      <c r="L155" s="2759">
        <f t="shared" si="101"/>
        <v>56.490123633854637</v>
      </c>
      <c r="M155" s="2759">
        <f t="shared" si="101"/>
        <v>20.519284376929818</v>
      </c>
      <c r="N155" s="2760">
        <f t="shared" si="101"/>
        <v>-216.42568025503397</v>
      </c>
      <c r="O155" s="2758">
        <f t="shared" si="101"/>
        <v>-976.43699642787442</v>
      </c>
      <c r="P155" s="2760">
        <f t="shared" si="101"/>
        <v>-1430.9224074426675</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1640625" defaultRowHeight="13.2"/>
  <cols>
    <col min="1" max="1" width="4.1796875" style="9" customWidth="1"/>
    <col min="2" max="2" width="17.453125" style="9" customWidth="1"/>
    <col min="3" max="3" width="22.81640625" style="9" customWidth="1"/>
    <col min="4" max="4" width="8.54296875" style="7" customWidth="1"/>
    <col min="5" max="6" width="7.81640625" style="7" customWidth="1"/>
    <col min="7" max="7" width="8" style="7" customWidth="1"/>
    <col min="8" max="8" width="7.81640625" style="7" customWidth="1"/>
    <col min="9" max="9" width="7.81640625" style="8" customWidth="1"/>
    <col min="10" max="11" width="8.08984375" style="7" customWidth="1"/>
    <col min="12" max="12" width="7.81640625" style="7" customWidth="1"/>
    <col min="13" max="15" width="8.1796875" style="7" customWidth="1"/>
    <col min="16" max="16" width="8.08984375" style="7" customWidth="1"/>
    <col min="17" max="17" width="7.81640625" style="9" customWidth="1"/>
    <col min="18" max="18" width="13.81640625" style="9" customWidth="1"/>
    <col min="19" max="20" width="11.81640625" style="9" customWidth="1"/>
    <col min="21" max="21" width="10.1796875" style="9" customWidth="1"/>
    <col min="22" max="22" width="12" style="9" customWidth="1"/>
    <col min="23" max="23" width="2.08984375" style="9" customWidth="1"/>
    <col min="24" max="24" width="10.54296875" style="9" customWidth="1"/>
    <col min="25" max="29" width="8.81640625" style="757"/>
    <col min="30" max="30" width="57" style="757" customWidth="1"/>
    <col min="31" max="31" width="52.1796875" style="9" customWidth="1"/>
    <col min="32" max="16384" width="8.81640625" style="9"/>
  </cols>
  <sheetData>
    <row r="1" spans="1:87" ht="15.6">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6">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Jul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6">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6">
      <c r="A7" s="80"/>
      <c r="B7" s="110"/>
      <c r="C7" s="1547">
        <f>VLOOKUP(Summary!H1,Summary!V1:W12,2,FALSE)</f>
        <v>4</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6">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4" thickBot="1">
      <c r="A9" s="82"/>
      <c r="B9" s="83"/>
      <c r="C9" s="82"/>
      <c r="D9" s="107">
        <f>IF(D10&lt;=$C$7,1,0)</f>
        <v>1</v>
      </c>
      <c r="E9" s="107">
        <f t="shared" ref="E9:O9" si="1">IF(E10&lt;=$C$7,1,0)</f>
        <v>1</v>
      </c>
      <c r="F9" s="107">
        <f t="shared" si="1"/>
        <v>1</v>
      </c>
      <c r="G9" s="107">
        <f t="shared" si="1"/>
        <v>1</v>
      </c>
      <c r="H9" s="107">
        <f t="shared" si="1"/>
        <v>0</v>
      </c>
      <c r="I9" s="107">
        <f t="shared" si="1"/>
        <v>0</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810</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810</v>
      </c>
      <c r="Q23" s="939">
        <f t="shared" si="2"/>
        <v>1758</v>
      </c>
      <c r="R23" s="325">
        <f>+P23/Q23</f>
        <v>0.46075085324232085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810</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960.66666666666652</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960.66666666666652</v>
      </c>
      <c r="Q26" s="939">
        <f t="shared" si="2"/>
        <v>1416.0000000000002</v>
      </c>
      <c r="R26" s="325">
        <f>+P26/Q26</f>
        <v>0.67843691148775875</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960.66666666666652</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1770.6666666666665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1770.6666666666665</v>
      </c>
      <c r="Q32" s="75">
        <f t="shared" si="14"/>
        <v>3174</v>
      </c>
      <c r="R32" s="325">
        <f>+P32/Q32</f>
        <v>0.55786599453896235</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960.66666666666652</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8"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7"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3.8">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6">
      <c r="A44" s="373"/>
      <c r="B44" s="70" t="str">
        <f>+A1</f>
        <v>Public Health Wales Trust</v>
      </c>
      <c r="C44" s="608"/>
      <c r="D44" s="612"/>
      <c r="E44" s="612"/>
      <c r="F44" s="612"/>
      <c r="G44" s="612"/>
      <c r="H44" s="612"/>
      <c r="I44" s="915"/>
      <c r="J44" s="612"/>
      <c r="K44" s="612"/>
      <c r="L44" s="612"/>
      <c r="M44" s="612"/>
      <c r="N44" s="612"/>
      <c r="O44" s="916" t="s">
        <v>51</v>
      </c>
      <c r="P44" s="986" t="str">
        <f>+Q3</f>
        <v>Jul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4</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8" thickBot="1">
      <c r="A49" s="82"/>
      <c r="B49" s="83"/>
      <c r="C49" s="107"/>
      <c r="D49" s="108">
        <f t="shared" ref="D49:O49" si="20">IF(D50&lt;=$C$47,1,0)</f>
        <v>1</v>
      </c>
      <c r="E49" s="108">
        <f t="shared" si="20"/>
        <v>1</v>
      </c>
      <c r="F49" s="108">
        <f t="shared" si="20"/>
        <v>1</v>
      </c>
      <c r="G49" s="108">
        <f t="shared" si="20"/>
        <v>1</v>
      </c>
      <c r="H49" s="108">
        <f t="shared" si="20"/>
        <v>0</v>
      </c>
      <c r="I49" s="108">
        <f t="shared" si="20"/>
        <v>0</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7"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40.200000000000003"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8"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227.66666666666666</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227.66666666666666</v>
      </c>
      <c r="Q57" s="939">
        <f t="shared" si="22"/>
        <v>682.99999999999989</v>
      </c>
      <c r="R57" s="325">
        <f>+P57/Q57</f>
        <v>0.33333333333333337</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960.66666666666652</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960.66666666666652</v>
      </c>
      <c r="Q72" s="75">
        <f t="shared" si="22"/>
        <v>1416.0000000000002</v>
      </c>
      <c r="R72" s="325">
        <f>+P72/Q72</f>
        <v>0.67843691148775875</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6">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8" thickBot="1">
      <c r="A79" s="82"/>
      <c r="B79" s="83"/>
      <c r="C79" s="107"/>
      <c r="D79" s="108">
        <f t="shared" ref="D79:O79" si="35">IF(D80&lt;=$C$47,1,0)</f>
        <v>1</v>
      </c>
      <c r="E79" s="108">
        <f t="shared" si="35"/>
        <v>1</v>
      </c>
      <c r="F79" s="108">
        <f t="shared" si="35"/>
        <v>1</v>
      </c>
      <c r="G79" s="108">
        <f t="shared" si="35"/>
        <v>1</v>
      </c>
      <c r="H79" s="108">
        <f t="shared" si="35"/>
        <v>0</v>
      </c>
      <c r="I79" s="108">
        <f t="shared" si="35"/>
        <v>0</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7"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40.200000000000003"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8"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8"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8"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8"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8"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8"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8"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8"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8"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8"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8"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8"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8"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8"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8"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6">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8" thickBot="1">
      <c r="A103" s="82"/>
      <c r="B103" s="83"/>
      <c r="C103" s="107"/>
      <c r="D103" s="108">
        <f t="shared" ref="D103:O103" si="48">IF(D104&lt;=$C$47,1,0)</f>
        <v>1</v>
      </c>
      <c r="E103" s="108">
        <f t="shared" si="48"/>
        <v>1</v>
      </c>
      <c r="F103" s="108">
        <f t="shared" si="48"/>
        <v>1</v>
      </c>
      <c r="G103" s="108">
        <f t="shared" si="48"/>
        <v>1</v>
      </c>
      <c r="H103" s="108">
        <f t="shared" si="48"/>
        <v>0</v>
      </c>
      <c r="I103" s="108">
        <f t="shared" si="48"/>
        <v>0</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8"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960.66666666666652</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960.66666666666652</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8"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810</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810</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8"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8"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8"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8"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5"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8"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8"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8"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8"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8"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1770.6666666666667</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1770.6666666666667</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8"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8" sqref="E48"/>
    </sheetView>
  </sheetViews>
  <sheetFormatPr defaultRowHeight="15"/>
  <cols>
    <col min="1" max="1" width="10.54296875" customWidth="1"/>
    <col min="2" max="2" width="10.453125" style="1429" customWidth="1"/>
    <col min="3" max="3" width="9.54296875" style="1429" customWidth="1"/>
    <col min="4" max="4" width="10.81640625" style="1429" customWidth="1"/>
    <col min="5" max="5" width="34" style="1430" customWidth="1"/>
    <col min="6" max="6" width="11" style="1429" customWidth="1"/>
    <col min="7" max="9" width="11" style="1431" customWidth="1"/>
    <col min="10" max="11" width="12.54296875" style="1431" customWidth="1"/>
    <col min="12" max="13" width="11" customWidth="1"/>
    <col min="14" max="14" width="11.54296875" customWidth="1"/>
    <col min="15" max="15" width="11.81640625" style="1432" customWidth="1"/>
    <col min="16" max="16" width="10" style="1433" bestFit="1" customWidth="1"/>
    <col min="17" max="17" width="12.08984375" style="1433" bestFit="1" customWidth="1"/>
    <col min="18" max="18" width="9.81640625" style="1433" bestFit="1" customWidth="1"/>
    <col min="19" max="31" width="11.81640625" style="1434" customWidth="1"/>
    <col min="32" max="58" width="11.81640625" customWidth="1"/>
    <col min="61" max="74" width="13.1796875" customWidth="1"/>
    <col min="77" max="78" width="9.1796875" customWidth="1"/>
    <col min="79" max="79" width="7.08984375" customWidth="1"/>
    <col min="80" max="83" width="9.1796875" customWidth="1"/>
    <col min="84" max="95" width="35.81640625" customWidth="1"/>
    <col min="96" max="96" width="2.81640625" customWidth="1"/>
    <col min="97" max="97" width="9.1796875" customWidth="1"/>
    <col min="98" max="98" width="24.1796875" customWidth="1"/>
    <col min="99" max="99" width="2.81640625" customWidth="1"/>
    <col min="100" max="100" width="46.1796875" bestFit="1" customWidth="1"/>
    <col min="101" max="101" width="3" customWidth="1"/>
    <col min="102" max="102" width="9.1796875" customWidth="1"/>
  </cols>
  <sheetData>
    <row r="1" spans="1:102" ht="15.6">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4</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6">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6">
      <c r="A3" s="1048"/>
      <c r="B3" s="1048"/>
      <c r="C3" s="1051"/>
      <c r="D3" s="1052"/>
      <c r="E3" s="1052"/>
      <c r="F3" s="1052"/>
      <c r="G3" s="1052"/>
      <c r="H3" s="1052"/>
      <c r="I3" s="1053"/>
      <c r="J3" s="1052" t="s">
        <v>289</v>
      </c>
      <c r="K3" s="1049"/>
      <c r="L3" s="1052"/>
      <c r="M3" s="1049"/>
      <c r="N3" s="1049"/>
      <c r="O3" s="1049"/>
      <c r="P3" s="140"/>
      <c r="Q3" s="1466"/>
      <c r="R3" s="608"/>
      <c r="S3" s="1143"/>
      <c r="T3" s="1143"/>
      <c r="U3" s="140" t="str">
        <f>+Summary!H1</f>
        <v>Jul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6">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0</v>
      </c>
      <c r="I5" s="1124">
        <f>IF(I6&lt;=VLOOKUP(Summary!$H$1,Summary!$V$1:$W$12,2,FALSE),1,0)</f>
        <v>0</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3.4"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1770.6666666666667</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6"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1770.6666666666667</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6"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6"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1770.6666666666667</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6"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1770.6666666666667</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6"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6"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6"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6"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6"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6"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6"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6"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1770.6666666666667</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6"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1770.6666666666667</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6"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6"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6"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1770.6666666666667</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6"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1770.6666666666667</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6"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0</v>
      </c>
      <c r="AH40" s="107">
        <f t="shared" si="40"/>
        <v>0</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6">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9.6">
      <c r="A43" s="1482" t="s">
        <v>621</v>
      </c>
      <c r="B43" s="1579" t="s">
        <v>1423</v>
      </c>
      <c r="C43" s="1579" t="s">
        <v>1423</v>
      </c>
      <c r="D43" s="1579" t="s">
        <v>1422</v>
      </c>
      <c r="E43" s="1580" t="s">
        <v>1461</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147.66666666666666</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9.6">
      <c r="A44" s="1482" t="str">
        <f t="shared" ref="A44:A107" si="79">$A$1</f>
        <v>Public Health Wales Trust</v>
      </c>
      <c r="B44" s="1579" t="s">
        <v>1423</v>
      </c>
      <c r="C44" s="1579" t="s">
        <v>1423</v>
      </c>
      <c r="D44" s="1579" t="s">
        <v>1425</v>
      </c>
      <c r="E44" s="1580" t="s">
        <v>1460</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227.66666666666666</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6">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86</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6">
      <c r="A46" s="1482" t="str">
        <f t="shared" si="79"/>
        <v>Public Health Wales Trust</v>
      </c>
      <c r="B46" s="1579" t="s">
        <v>1424</v>
      </c>
      <c r="C46" s="1579" t="s">
        <v>1424</v>
      </c>
      <c r="D46" s="1579" t="s">
        <v>1427</v>
      </c>
      <c r="E46" s="1580" t="s">
        <v>1462</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160.33333333333334</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6">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60</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6">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20</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6">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6">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3.2">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3.2">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3.2">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3.2">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3.2">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3.2">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3.2">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3.2">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3.2">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3.2">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3.2">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3.2">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3.2">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3.2">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3.2">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3.2">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3.2">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3.2">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3.2">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3.2">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3.2">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3.2">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3.2">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3.2">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3.2">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3.2">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3.2">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3.2">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3.2">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3.2">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3.2">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3.2">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3.2">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3.2">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2">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3.2">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2">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2">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3.2">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3.2">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3.2">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3.2">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3.2">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3.2">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2">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3.2">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3.2">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3.2">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3.2">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3.2">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3.2">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3.2">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3.2">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3.2">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3.2">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3.2">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3.2">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3.2">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3.2">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3.2">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3.2">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3.2">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3.2">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3.2">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3.2">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3.2">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3.2">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3.2">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3.2">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3.2">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3.2">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3.2">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3.2">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3.2">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3.2">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3.2">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3.2">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3.2">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3.2">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3.2">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3.2">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3.2">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3.2">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3.2">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3.2">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3.2">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3.2">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3.2">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3.2">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3.2">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3.2">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3.2">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3.2">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3.2">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3.2">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3.2">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3.2">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3.2">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3.2">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3.2">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3.2">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3.2">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3.2">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3.2">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3.2">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3.2">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3.2">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3.2">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3.2">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3.2">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3.2">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3.2">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3.2">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3.2">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3.2">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3.2">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3.2">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3.2">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3.2">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3.2">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3.2">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3.2">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3.2">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3.2">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3.2">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3.2">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3.2">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3.2">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3.2">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3.2">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3.2">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3.2">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3.2">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3.2">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3.2">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3.2">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3.2">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3.2">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3.2">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3.2">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3.2">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3.2">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3.2">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3.2">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3.2">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3.2">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3.2">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3.2">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3.2">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3.2">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3.2">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3.2">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3.2">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3.2">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3.2">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3.2">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3.2">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3.2">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3.2">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3.2">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3.2">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3.2">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3.2">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3.2">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3.2">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3.2">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3.2">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3.2">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3.2">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3.2">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3.2">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3.2">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3.2">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3.2">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3.2">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3.2">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3.2">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3.2">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3.2">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3.2">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3.2">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3.2">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3.2">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3.2">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3.2">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3.2">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3.2">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3.2">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3.2">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3.2">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3.2">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3.2">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3.2">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3.2">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3.2">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3.2">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3.2">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3.2">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3.2">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3.2">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3.2">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3.2">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3.2">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3.2">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3.2">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3.2">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3.2">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3.2">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3.2">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3.2">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3.2">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3.2">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3.2">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3.2">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3.2">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3.2">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3.2">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3.2">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3.2">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3.2">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3.2">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3.2">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3.2">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3.2">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3.2">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3.2">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3.2">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3.2">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3.2">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3.2">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3.2">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3.2">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3.2">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3.2">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3.2">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3.2">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3.2">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3.2">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3.2">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3.2">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3.2">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3.2">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3.2">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3.2">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3.2">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3.2">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3.2">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3.2">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3.2">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3.2">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3.2">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3.2">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3.2">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3.2">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3.2">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3.2">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3.2">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3.2">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3.2">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3.2">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3.2">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3.2">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3.2">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3.2">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3.2">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3.2">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3.2">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3.2">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3.2">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3.2">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3.2">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3.2">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3.2">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3.2">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3.2">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3.2">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3.2">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3.2">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3.2">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3.2">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3.2">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3.2">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3.2">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3.2">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3.2">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3.2">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3.2">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3.2">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3.2">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3.2">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3.2">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3.2">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3.2">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3.2">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3.2">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3.2">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3.2">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3.2">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3.2">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3.2">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3.2">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3.2">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3.2">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3.2">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3.2">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3.2">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3.2">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3.2">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3.2">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3.2">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3.2">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3.2">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3.2">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3.2">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3.2">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3.2">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3.2">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3.2">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3.2">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3.2">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3.2">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3.2">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3.2">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3.2">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3.2">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3.2">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3.2">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3.2">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3.2">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3.2">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3.2">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3.2">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3.2">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3.2">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3.2">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3.2">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3.2">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3.2">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3.2">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3.2">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3.2">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3.2">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3.2">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3.2">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3.2">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3.2">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3.2">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3.2">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3.2">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3.2">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3.2">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3.2">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3.2">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3.2">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3.2">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3.2">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3.2">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3.2">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3.2">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3.2">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3.2">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3.2">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3.2">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3.2">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3.2">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3.2">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3.2">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3.2">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3.2">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3.2">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3.2">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3.2">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3.2">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3.2">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3.2">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3.2">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3.2">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3.2">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3.2">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3.2">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3.2">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3.2">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3.2">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3.2">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3.2">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3.2">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3.2">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3.2">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3.2">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3.2">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3.2">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3.2">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3.2">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3.2">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3.2">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3.2">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3.2">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3.2">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3.2">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3.2">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3.2">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3.2">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3.2">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3.2">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3.2">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3.2">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3.2">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3.2">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3.2">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3.2">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3.2">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3.2">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3.2">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3.2">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3.2">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3.2">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3.2">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3.2">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3.2">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3.2">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3.2">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3.2">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3.2">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3.2">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3.2">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3.2">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3.2">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3.2">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3.2">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3.2">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3.2">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3.2">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3.2">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3.2">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3.2">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3.2">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3.2">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3.2">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3.2">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3.2">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3.2">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3.2">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3.2">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3.2">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3.2">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3.2">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3.2">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3.2">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3.2">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3.2">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3.2">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3.2">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3.2">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3.2">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3.2">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3.2">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3.2">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3.2">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3.2">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3.2">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3.2">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3.2">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3.2">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3.2">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3.2">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3.2">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3.2">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3.2">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3.2">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3.2">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3.2">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3.2">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3.2">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3.2">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3.2">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3.2">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3.2">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3.2">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3.2">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3.2">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3.2">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3.2">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3.2">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3.2">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3.2">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3.2">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3.2">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3.2">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3.2">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3.2">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3.2">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3.2">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3.2">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3.2">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3.2">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3.2">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3.2">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3.2">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3.2">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3.2">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3.2">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3.2">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3.2">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3.2">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3.2">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3.2">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3.2">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3.2">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3.2">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3.2">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3.2">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3.2">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3.2">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3.2">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3.2">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3.2">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3.2">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3.2">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3.2">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3.2">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3.2">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3.2">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3.2">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3.2">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3.2">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3.2">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3.2">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3.2">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3.2">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3.2">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3.2">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3.2">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3.2">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3.2">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3.2">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3.2">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3.2">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3.2">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3.2">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3.2">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3.2">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3.2">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3.2">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3.2">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3.2">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3.2">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3.2">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3.2">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3.2">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3.2">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3.2">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3.2">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3.2">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3.2">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3.2">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3.2">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3.2">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3.2">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3.2">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3.2">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3.2">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3.2">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3.2">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3.2">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3.2">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3.2">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3.2">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3.2">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3.2">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3.2">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3.2">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3.2">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3.2">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3.2">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3.2">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3.2">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3.2">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3.2">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3.2">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3.2">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3.2">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3.2">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3.2">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3.2">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3.2">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3.2">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3.2">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3.2">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3.2">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3.2">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3.2">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3.2">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3.2">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3.2">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3.2">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3.2">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3.2">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3.2">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3.2">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3.2">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3.2">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3.2">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3.2">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3.2">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3.2">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3.2">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3.2">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3.2">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3.2">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3.2">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3.2">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3.2">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3.2">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3.2">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3.2">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3.2">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3.2">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3.2">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3.2">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3.2">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3.2">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3.2">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3.2">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3.2">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3.2">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3.2">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3.2">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3.2">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3.2">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3.2">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3.2">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3.2">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3.2">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3.2">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3.2">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3.2">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3.2">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3.2">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3.2">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3.2">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3.2">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3.2">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3.2">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3.2">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3.2">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3.2">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3.2">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3.2">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3.2">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3.2">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3.2">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3.2">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3.2">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3.2">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3.2">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3.2">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3.2">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3.2">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3.2">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3.2">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3.2">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3.2">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3.2">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3.2">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3.2">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3.2">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3.2">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3.2">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3.2">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3.2">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3.2">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3.2">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3.2">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3.2">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3.2">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3.2">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3.2">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3.2">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3.2">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3.2">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3.2">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3.2">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3.2">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3.2">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3.2">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3.2">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3.2">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3.2">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3.2">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3.2">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3.2">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3.2">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3.2">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3.2">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3.2">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3.2">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3.2">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3.2">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3.2">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3.2">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3.2">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3.2">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3.2">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3.2">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3.2">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3.2">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3.2">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3.2">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3.2">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3.2">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3.2">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3.2">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3.2">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3.2">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3.2">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3.2">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3.2">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3.2">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3.2">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3.2">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3.2">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3.2">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3.2">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3.2">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3.2">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3.2">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3.2">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3.2">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3.2">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3.2">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3.2">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3.2">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3.2">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3.2">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3.2">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3.2">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3.2">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3.2">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3.2">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3.2">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3.2">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3.2">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3.2">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3.2">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3.2">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3.2">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3.2">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3.2">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3.2">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3.2">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3.2">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3.2">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3.2">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3.2">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3.2">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3.2">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3.2">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3.2">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3.2">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3.2">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3.2">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3.2">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3.2">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3.2">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3.2">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3.2">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3.2">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3.2">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3.2">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3.2">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3.2">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3.2">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3.2">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3.2">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3.2">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3.2">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3.2">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3.2">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3.2">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3.2">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3.2">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3.2">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3.2">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3.2">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3.2">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3.2">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3.2">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3.2">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3.2">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3.2">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3.2">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3.2">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3.2">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3.2">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3.2">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3.2">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3.2">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3.2">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3.2">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3.2">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3.2">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3.2">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3.2">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3.2">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3.2">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3.2">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3.2">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3.2">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3.2">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3.2">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3.2">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3.2">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3.2">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3.2">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3.2">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3.2">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3.2">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3.2">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3.2">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3.2">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3.2">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3.2">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3.2">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3.2">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3.2">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3.2">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3.2">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3.2">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3.2">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3.2">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3.2">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3.2">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3.2">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3.2">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3.2">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3.2">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3.2">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3.2">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3.2">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3.2">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3.2">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3.2">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3.2">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3.2">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3.2">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3.2">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3.2">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3.2">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3.2">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3.2">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3.2">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3.2">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3.2">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3.2">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3.2">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3.2">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3.2">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3.2">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3.2">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3.2">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3.2">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3.2">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3.2">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3.2">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3.2">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3.2">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3.2">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3.2">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3.2">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3.2">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3.2">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3.2">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3.2">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3.2">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3.2">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3.2">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3.2">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3.2">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3.2">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3.2">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3.2">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3.2">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3.2">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3.2">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3.2">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3.2">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3.2">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3.2">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3.2">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3.2">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3.2">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3.2">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3.2">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3.2">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3.2">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3.2">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3.2">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3.2">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3.2">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3.2">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3.2">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3.2">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3.2">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3.2">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3.2">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3.2">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3.2">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3.2">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3.2">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3.2">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3.2">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3.2">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3.2">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3.2">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3.2">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3.2">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3.2">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3.2">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3.2">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3.2">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3.2">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3.2">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3.2">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3.2">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3.2">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3.2">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3.2">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3.2">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3.2">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3.2">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3.2">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3.2">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3.2">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3.2">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3.2">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3.2">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3.2">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3.2">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3.2">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3.2">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3.2">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3.2">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3.2">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3.2">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3.2">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3.2">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3.2">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3.2">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3.2">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3.2">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3.2">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3.2">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3.2">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3.2">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3.2">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3.2">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3.2">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3.2">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3.2">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3.2">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3.2">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3.2">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3.2">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3.2">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3.2">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3.2">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3.2">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3.2">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3.2">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3.2">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3.2">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3.2">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3.2">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3.2">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3.2">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3.2">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3.2">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3.2">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3.2">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3.2">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3.2">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3.2">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3.2">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3.2">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3.2">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3.2">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3.2">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3.2">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3.2">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3.2">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3.2">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3.2">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3.2">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3.2">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3.2">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3.2">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3.2">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3.2">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3.2">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3.2">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3.2">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3.2">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3.2">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3.2">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3.2">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3.2">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3.2">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3.2">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3.2">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3.2">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3.2">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3.2">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3.2">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3.2">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3.2">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3.2">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3.2">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3.2">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3.2">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3.2">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3.2">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3.2">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3.2">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3.2">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3.2">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3.2">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3.2">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3.2">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3.2">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3.2">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3.2">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3.2">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3.2">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3.2">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3.2">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3.2">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3.2">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3.2">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3.2">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3.2">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3.2">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3.2">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3.2">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3.2">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3.2">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3.2">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3.2">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3.2">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3.2">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3.2">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3.2">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3.2">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3.2">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3.2">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3.2">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3.2">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3.2">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3.2">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3.2">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3.2">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3.2">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3.2">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3.2">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3.2">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3.2">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3.2">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3.2">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3.2">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3.2">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3.2">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3.2">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3.2">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3.2">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3.2">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3.2">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3.2">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3.2">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3.2">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3.2">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3.2">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3.2">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3.2">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3.2">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3.2">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3.2">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3.2">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3.2">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3.2">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3.2">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3.2">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3.2">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3.2">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3.2">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3.2">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3.2">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3.2">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3.2">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3.2">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3.2">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3.2">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3.2">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3.2">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3.2">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3.2">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3.2">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3.2">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3.2">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3.2">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3.2">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3.2">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3.2">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3.2">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3.2">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3.2">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3.2">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3.2">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3.2">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3.2">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3.2">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3.2">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3.2">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3.2">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3.2">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3.2">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3.2">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3.2">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3.2">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3.2">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3.2">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3.2">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3.2">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3.2">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3.2">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3.2">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3.2">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3.2">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3.2">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3.2">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3.2">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3.2">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3.2">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3.2">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3.2">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3.2">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3.2">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3.2">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3.2">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3.2">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3.2">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3.2">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3.2">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3.2">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3.2">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3.2">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3.2">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3.2">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3.2">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3.2">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3.2">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3.2">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3.2">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3.2">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3.2">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3.2">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3.2">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3.2">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3.2">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3.2">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3.2">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3.2">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3.2">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3.2">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3.2">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3.2">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3.2">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3.2">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3.2">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3.2">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3.2">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3.2">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3.2">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3.2">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3.2">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3.2">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3.2">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3.2">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3.2">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3.2">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3.2">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3.2">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3.2">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3.2">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3.2">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3.2">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3.2">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3.2">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3.2">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3.2">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3.2">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3.2">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3.2">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3.2">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3.2">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3.2">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3.2">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3.2">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3.2">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3.2">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3.2">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3.2">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3.2">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3.2">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3.2">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3.2">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3.2">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3.2">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3.2">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3.2">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3.2">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3.2">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3.2">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3.2">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3.2">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3.2">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3.2">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3.2">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3.2">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3.2">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3.2">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3.2">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3.2">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3.2">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3.2">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3.2">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3.2">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3.2">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3.2">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3.2">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3.2">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3.2">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3.2">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3.2">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3.2">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3.2">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3.2">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3.2">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3.2">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3.2">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3.2">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3.2">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3.2">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3.2">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3.2">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3.2">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3.2">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3.2">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3.2">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3.2">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3.2">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3.2">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3.2">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3.2">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3.2">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3.2">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3.2">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3.2">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3.2">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3.2">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3.2">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3.2">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3.2">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3.2">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3.2">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3.2">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3.2">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3.2">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3.2">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3.2">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3.2">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3.2">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3.2">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3.2">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3.2">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3.2">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3.2">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3.2">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3.2">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3.2">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3.2">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3.2">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3.2">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3.2">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3.2">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3.2">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3.2">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3.2">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3.2">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3.2">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3.2">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3.2">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3.2">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3.2">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3.2">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3.2">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3.2">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3.2">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3.2">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3.2">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3.2">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3.2">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3.2">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3.2">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3.2">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3.2">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3.2">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3.2">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3.2">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3.2">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3.2">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3.2">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3.2">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2">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2">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2">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2">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2">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2">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2">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2">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2">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2">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2">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2">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2">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2">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2">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2">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2">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2">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2">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2">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2">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2">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3.2">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3.2">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3.2">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3.2">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3.2">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3.2">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3.2">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3.2">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3.2">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3.2">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3.2">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3.2">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3.2">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3.2">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3.2">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3.2">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3.2">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3.2">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3.2">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3.2">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3.2">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3.2">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3.2">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3.2">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3.2">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3.2">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3.2">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3.2">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3.2">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3.2">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3.2">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3.2">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3.2">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3.2">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3.2">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3.2">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3.2">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3.2">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3.2">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3.2">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3.2">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3.2">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3.2">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3.2">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3.2">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3.2">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3.2">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3.2">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3.2">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3.2">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3.2">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3.2">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3.2">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3.2">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3.2">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3.2">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3.2">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3.2">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3.2">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3.2">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3.2">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3.2">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3.2">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3.2">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3.2">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3.2">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3.2">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3.2">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3.2">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3.2">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3.2">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3.2">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3.2">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3.2">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3.2">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3.2">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3.2">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3.2">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3.2">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3.2">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3.2">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3.2">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3.2">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3.2">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3.2">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3.2">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3.2">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3.2">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3.2">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3.2">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3.2">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3.2">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3.2">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3.2">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3.2">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3.2">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3.2">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3.2">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3.2">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3.2">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3.2">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3.2">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3.2">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22" sqref="D22"/>
    </sheetView>
  </sheetViews>
  <sheetFormatPr defaultColWidth="8.81640625" defaultRowHeight="15"/>
  <cols>
    <col min="1" max="1" width="5.1796875" customWidth="1"/>
    <col min="2" max="2" width="30.1796875" bestFit="1" customWidth="1"/>
    <col min="3" max="5" width="11.1796875" customWidth="1"/>
    <col min="6" max="6" width="2.81640625" customWidth="1"/>
    <col min="7" max="9" width="11.81640625" customWidth="1"/>
  </cols>
  <sheetData>
    <row r="1" spans="1:23" ht="17.399999999999999">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6">
      <c r="A2" s="71"/>
      <c r="B2" s="70"/>
      <c r="C2" s="71"/>
      <c r="D2" s="71"/>
      <c r="E2" s="71"/>
      <c r="F2" s="71"/>
      <c r="G2" s="71"/>
      <c r="H2" s="71"/>
      <c r="I2" s="71"/>
      <c r="J2" s="71"/>
      <c r="K2" s="71"/>
      <c r="L2" s="71"/>
      <c r="M2" s="332"/>
      <c r="N2" s="332"/>
      <c r="O2" s="332"/>
      <c r="P2" s="332"/>
      <c r="Q2" s="332"/>
      <c r="R2" s="332"/>
      <c r="S2" s="332"/>
      <c r="T2" s="332"/>
      <c r="U2" s="332"/>
      <c r="V2" s="332"/>
      <c r="W2" s="332"/>
    </row>
    <row r="3" spans="1:23" ht="15.6">
      <c r="A3" s="70"/>
      <c r="B3" s="70"/>
      <c r="C3" s="71"/>
      <c r="D3" s="71"/>
      <c r="E3" s="71"/>
      <c r="F3" s="71"/>
      <c r="G3" s="71"/>
      <c r="H3" s="150" t="s">
        <v>51</v>
      </c>
      <c r="I3" s="72" t="str">
        <f>+Summary!H1</f>
        <v>Jul 23</v>
      </c>
      <c r="J3" s="71"/>
      <c r="K3" s="71"/>
      <c r="L3" s="71"/>
      <c r="M3" s="332"/>
      <c r="N3" s="332"/>
      <c r="O3" s="332"/>
      <c r="P3" s="332"/>
      <c r="Q3" s="332"/>
      <c r="R3" s="332"/>
      <c r="S3" s="332"/>
      <c r="T3" s="332"/>
      <c r="U3" s="332"/>
      <c r="V3" s="332"/>
      <c r="W3" s="332"/>
    </row>
    <row r="4" spans="1:23" ht="15.6">
      <c r="A4" s="70"/>
      <c r="B4" s="70"/>
      <c r="C4" s="71"/>
      <c r="D4" s="71"/>
      <c r="E4" s="71"/>
      <c r="F4" s="71"/>
      <c r="G4" s="71"/>
      <c r="H4" s="150"/>
      <c r="I4" s="72"/>
      <c r="J4" s="71"/>
      <c r="K4" s="71"/>
      <c r="L4" s="71"/>
      <c r="M4" s="332"/>
      <c r="N4" s="332"/>
      <c r="O4" s="332"/>
      <c r="P4" s="332"/>
      <c r="Q4" s="332"/>
      <c r="R4" s="332"/>
      <c r="S4" s="332"/>
      <c r="T4" s="332"/>
      <c r="U4" s="332"/>
      <c r="V4" s="332"/>
      <c r="W4" s="332"/>
    </row>
    <row r="5" spans="1:23" ht="15.6">
      <c r="A5" s="70" t="s">
        <v>570</v>
      </c>
      <c r="B5" s="70"/>
      <c r="C5" s="71"/>
      <c r="D5" s="71"/>
      <c r="E5" s="71"/>
      <c r="F5" s="71"/>
      <c r="G5" s="71"/>
      <c r="H5" s="71"/>
      <c r="I5" s="71"/>
      <c r="J5" s="71"/>
      <c r="K5" s="71"/>
      <c r="L5" s="71"/>
      <c r="M5" s="332"/>
      <c r="N5" s="332"/>
      <c r="O5" s="332"/>
      <c r="P5" s="332"/>
      <c r="Q5" s="332"/>
      <c r="R5" s="332"/>
      <c r="S5" s="332"/>
      <c r="T5" s="332"/>
      <c r="U5" s="332"/>
      <c r="V5" s="332"/>
      <c r="W5" s="332"/>
    </row>
    <row r="6" spans="1:23" ht="15.6">
      <c r="A6" s="71"/>
      <c r="B6" s="71"/>
      <c r="C6" s="71"/>
      <c r="D6" s="780"/>
      <c r="E6" s="71"/>
      <c r="F6" s="71"/>
      <c r="G6" s="71"/>
      <c r="H6" s="71"/>
      <c r="I6" s="71"/>
      <c r="J6" s="71"/>
      <c r="K6" s="71"/>
      <c r="L6" s="71"/>
      <c r="M6" s="332"/>
      <c r="N6" s="332"/>
      <c r="O6" s="332"/>
      <c r="P6" s="332"/>
      <c r="Q6" s="332"/>
      <c r="R6" s="332"/>
      <c r="S6" s="332"/>
      <c r="T6" s="332"/>
      <c r="U6" s="332"/>
      <c r="V6" s="332"/>
      <c r="W6" s="332"/>
    </row>
    <row r="7" spans="1:23" ht="15.6">
      <c r="A7" s="70" t="s">
        <v>522</v>
      </c>
      <c r="B7" s="70"/>
      <c r="C7" s="71"/>
      <c r="D7" s="71"/>
      <c r="E7" s="71"/>
      <c r="F7" s="71"/>
      <c r="G7" s="71"/>
      <c r="H7" s="71"/>
      <c r="I7" s="71"/>
      <c r="J7" s="71"/>
      <c r="K7" s="71"/>
      <c r="L7" s="71"/>
      <c r="M7" s="332"/>
      <c r="N7" s="332"/>
      <c r="O7" s="332"/>
      <c r="P7" s="332"/>
      <c r="Q7" s="332"/>
      <c r="R7" s="332"/>
      <c r="S7" s="332"/>
      <c r="T7" s="332"/>
      <c r="U7" s="332"/>
      <c r="V7" s="332"/>
      <c r="W7" s="332"/>
    </row>
    <row r="8" spans="1:23" ht="15.6">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8">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6">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6">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6">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6">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6">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6">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6">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6">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6">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6">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6">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6">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ht="15.6">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6">
      <c r="A23" s="335">
        <v>13</v>
      </c>
      <c r="B23" s="190" t="s">
        <v>170</v>
      </c>
      <c r="C23" s="41">
        <v>0</v>
      </c>
      <c r="D23" s="41">
        <v>190</v>
      </c>
      <c r="E23" s="199">
        <f t="shared" si="2"/>
        <v>190</v>
      </c>
      <c r="F23" s="71"/>
      <c r="G23" s="3011">
        <v>0</v>
      </c>
      <c r="H23" s="3011">
        <v>144</v>
      </c>
      <c r="I23" s="199">
        <f t="shared" si="3"/>
        <v>144</v>
      </c>
      <c r="J23" s="71"/>
      <c r="K23" s="71"/>
      <c r="L23" s="71"/>
      <c r="M23" s="332"/>
      <c r="N23" s="332"/>
      <c r="O23" s="332"/>
      <c r="P23" s="332"/>
      <c r="Q23" s="332"/>
      <c r="R23" s="332"/>
      <c r="S23" s="332"/>
      <c r="T23" s="332"/>
      <c r="U23" s="332"/>
      <c r="V23" s="332"/>
      <c r="W23" s="332"/>
    </row>
    <row r="24" spans="1:23" ht="15.6">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6">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ht="15.6">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6">
      <c r="A27" s="335">
        <v>17</v>
      </c>
      <c r="B27" s="336" t="s">
        <v>79</v>
      </c>
      <c r="C27" s="199">
        <f>SUM(C11:C26)</f>
        <v>20350</v>
      </c>
      <c r="D27" s="199">
        <f>SUM(D11:D26)</f>
        <v>12225</v>
      </c>
      <c r="E27" s="199">
        <f>SUM(E11:E26)</f>
        <v>32575</v>
      </c>
      <c r="F27" s="71"/>
      <c r="G27" s="199">
        <f>SUM(G11:G26)</f>
        <v>17702</v>
      </c>
      <c r="H27" s="199">
        <f>SUM(H11:H26)</f>
        <v>23221</v>
      </c>
      <c r="I27" s="199">
        <f>SUM(I11:I26)</f>
        <v>40923</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K327"/>
  <sheetViews>
    <sheetView zoomScale="80" zoomScaleNormal="80" workbookViewId="0">
      <selection activeCell="E18" sqref="E18"/>
    </sheetView>
  </sheetViews>
  <sheetFormatPr defaultColWidth="8.81640625" defaultRowHeight="15"/>
  <cols>
    <col min="1" max="1" width="3" customWidth="1"/>
    <col min="2" max="2" width="66" bestFit="1" customWidth="1"/>
    <col min="3" max="3" width="22.1796875" customWidth="1"/>
    <col min="4" max="4" width="20.81640625" customWidth="1"/>
    <col min="5" max="5" width="24.1796875" style="753" customWidth="1"/>
    <col min="6" max="7" width="8.81640625" style="753"/>
    <col min="8" max="8" width="52.54296875" customWidth="1"/>
    <col min="9" max="9" width="68.81640625" customWidth="1"/>
  </cols>
  <sheetData>
    <row r="1" spans="1:63" ht="36" customHeight="1">
      <c r="A1" s="149" t="str">
        <f>+Summary!A1</f>
        <v>Public Health Wales Trust</v>
      </c>
      <c r="B1" s="71"/>
      <c r="C1" s="359" t="s">
        <v>51</v>
      </c>
      <c r="D1" s="360" t="str">
        <f>+Summary!H1</f>
        <v>Jul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6">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6">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2"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6">
      <c r="A5" s="70" t="s">
        <v>901</v>
      </c>
      <c r="B5" s="70"/>
      <c r="C5" s="192" t="s">
        <v>75</v>
      </c>
      <c r="D5" s="275" t="s">
        <v>76</v>
      </c>
      <c r="E5" s="275" t="s">
        <v>404</v>
      </c>
      <c r="F5" s="763"/>
      <c r="G5" s="911">
        <f>D28+D37</f>
        <v>7994</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6">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2" thickBot="1">
      <c r="A7" s="71"/>
      <c r="B7" s="71"/>
      <c r="C7" s="898" t="str">
        <f>Summary!$V$1</f>
        <v>Apr 23</v>
      </c>
      <c r="D7" s="361" t="str">
        <f>+D1</f>
        <v>Jul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6">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33794</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34663</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1872</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44945</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14056</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60873</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95536</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49171</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6066</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57437</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38099</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6274</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8202</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29897</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6">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4072</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29897</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2" thickBot="1">
      <c r="A54" s="373"/>
      <c r="B54" s="70" t="s">
        <v>409</v>
      </c>
      <c r="C54" s="378" t="str">
        <f>C7</f>
        <v>Apr 23</v>
      </c>
      <c r="D54" s="379" t="str">
        <f>+D1</f>
        <v>Jul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6" thickBot="1">
      <c r="A55" s="380">
        <f>A49+1</f>
        <v>31</v>
      </c>
      <c r="B55" s="591" t="s">
        <v>1467</v>
      </c>
      <c r="C55" s="42">
        <v>4781</v>
      </c>
      <c r="D55" s="42">
        <v>4931</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6" thickBot="1">
      <c r="A56" s="381">
        <f>A55+1</f>
        <v>32</v>
      </c>
      <c r="B56" s="592" t="s">
        <v>1468</v>
      </c>
      <c r="C56" s="27">
        <v>972</v>
      </c>
      <c r="D56" s="27">
        <v>950</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6" thickBot="1">
      <c r="A57" s="381">
        <f t="shared" ref="A57:A64" si="8">A56+1</f>
        <v>33</v>
      </c>
      <c r="B57" s="592" t="s">
        <v>1469</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6" thickBot="1">
      <c r="A58" s="381">
        <f t="shared" si="8"/>
        <v>34</v>
      </c>
      <c r="B58" s="592" t="s">
        <v>1470</v>
      </c>
      <c r="C58" s="27">
        <v>92</v>
      </c>
      <c r="D58" s="27">
        <v>445</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6" thickBot="1">
      <c r="A59" s="381">
        <f t="shared" si="8"/>
        <v>35</v>
      </c>
      <c r="B59" s="1001" t="s">
        <v>1471</v>
      </c>
      <c r="C59" s="27">
        <v>1586</v>
      </c>
      <c r="D59" s="27">
        <v>1495.1606900000011</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6" thickBot="1">
      <c r="A60" s="381">
        <f t="shared" si="8"/>
        <v>36</v>
      </c>
      <c r="B60" s="592" t="s">
        <v>1472</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1473</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2" thickBot="1">
      <c r="A64" s="1021">
        <f t="shared" si="8"/>
        <v>40</v>
      </c>
      <c r="B64" s="1022" t="s">
        <v>410</v>
      </c>
      <c r="C64" s="117">
        <f>SUM(C55:C63)</f>
        <v>7564</v>
      </c>
      <c r="D64" s="117">
        <f>SUM(D55:D63)</f>
        <v>7993.8747600000006</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2"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2"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2469</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7</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6" thickBot="1">
      <c r="A69" s="381">
        <f>A68+1</f>
        <v>43</v>
      </c>
      <c r="B69" s="384" t="s">
        <v>513</v>
      </c>
      <c r="C69" s="283"/>
      <c r="D69" s="29">
        <v>21</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2"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1</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6" thickBot="1">
      <c r="A73" s="366">
        <f>A72+1</f>
        <v>45</v>
      </c>
      <c r="B73" s="947" t="s">
        <v>296</v>
      </c>
      <c r="C73" s="29">
        <v>29907</v>
      </c>
      <c r="D73" s="29">
        <f>D34+D25-D72</f>
        <v>49170</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2"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1152</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6" thickBot="1">
      <c r="A77" s="366">
        <f>A76+1</f>
        <v>47</v>
      </c>
      <c r="B77" s="947" t="s">
        <v>296</v>
      </c>
      <c r="C77" s="29">
        <v>14693</v>
      </c>
      <c r="D77" s="29">
        <f>D18-D76</f>
        <v>12904</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A158"/>
  <sheetViews>
    <sheetView showGridLines="0" zoomScale="70" zoomScaleNormal="70" workbookViewId="0">
      <selection activeCell="L115" sqref="L115"/>
    </sheetView>
  </sheetViews>
  <sheetFormatPr defaultColWidth="8.81640625" defaultRowHeight="15"/>
  <cols>
    <col min="1" max="1" width="4.81640625" customWidth="1"/>
    <col min="2" max="2" width="60.81640625" customWidth="1"/>
    <col min="3" max="6" width="12.453125" customWidth="1"/>
    <col min="7" max="8" width="13.81640625" customWidth="1"/>
    <col min="9" max="11" width="16" customWidth="1"/>
    <col min="12" max="12" width="32.1796875" customWidth="1"/>
    <col min="13" max="13" width="8.81640625" style="788"/>
    <col min="14" max="17" width="8.81640625" style="754"/>
    <col min="18" max="18" width="54.1796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Jul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6">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5.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6">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2"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6">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6"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2"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1">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6">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6">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6">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2"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6">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6">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2"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6">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ht="15.6">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2"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ht="15.6">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6">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6">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6">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6">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6">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6">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6">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6">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6">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6">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6">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6">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6">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6">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6">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6">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6">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6">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6">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6">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6">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6">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6">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6">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6">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6">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6">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6">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2"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2"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BB111"/>
  <sheetViews>
    <sheetView showGridLines="0" zoomScale="70" zoomScaleNormal="70" zoomScaleSheetLayoutView="55" workbookViewId="0">
      <selection activeCell="U32" sqref="U32"/>
    </sheetView>
  </sheetViews>
  <sheetFormatPr defaultColWidth="8.81640625" defaultRowHeight="15"/>
  <cols>
    <col min="1" max="1" width="5.81640625" customWidth="1"/>
    <col min="2" max="2" width="60.81640625" customWidth="1"/>
    <col min="3" max="3" width="13.08984375" bestFit="1" customWidth="1"/>
    <col min="4" max="4" width="16.08984375" bestFit="1" customWidth="1"/>
    <col min="5" max="5" width="14.81640625" bestFit="1" customWidth="1"/>
    <col min="6" max="6" width="12.54296875" bestFit="1" customWidth="1"/>
    <col min="7" max="7" width="12.1796875" bestFit="1" customWidth="1"/>
    <col min="8" max="8" width="13.81640625" bestFit="1" customWidth="1"/>
    <col min="9" max="9" width="11.08984375" bestFit="1" customWidth="1"/>
    <col min="10" max="10" width="13.54296875" customWidth="1"/>
    <col min="11" max="14" width="11.08984375" customWidth="1"/>
    <col min="15" max="15" width="10.81640625" customWidth="1"/>
    <col min="16" max="18" width="11.08984375" customWidth="1"/>
    <col min="19" max="19" width="11.1796875" bestFit="1" customWidth="1"/>
    <col min="21" max="21" width="43.1796875" customWidth="1"/>
    <col min="22" max="23" width="8.81640625" style="753"/>
    <col min="24" max="24" width="4.1796875" style="753" customWidth="1"/>
    <col min="25" max="25" width="53.453125" style="753" customWidth="1"/>
    <col min="26" max="26" width="91" style="753" bestFit="1" customWidth="1"/>
    <col min="27" max="29" width="8.8164062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Jul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7.399999999999999">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7.399999999999999">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1">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8">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6">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4180</v>
      </c>
      <c r="O10" s="1657">
        <f>'D - Welsh NHS Assumptions'!E25</f>
        <v>2075</v>
      </c>
      <c r="P10" s="1657">
        <f>'B - Monthly Positions'!Q15-SUM(P13:P47)</f>
        <v>193927.52691353331</v>
      </c>
      <c r="Q10" s="1657">
        <f>'D - Welsh NHS Assumptions'!E24</f>
        <v>0</v>
      </c>
      <c r="R10" s="1657">
        <f>'D - Welsh NHS Assumptions'!E23</f>
        <v>190</v>
      </c>
      <c r="S10" s="1657">
        <v>0</v>
      </c>
      <c r="T10" s="1658">
        <f>SUM(C10:S10)</f>
        <v>226502.52691353331</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6">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6">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c r="Q13" s="1657"/>
      <c r="R13" s="1657"/>
      <c r="S13" s="1657"/>
      <c r="T13" s="1661">
        <f t="shared" ref="T13:T47" si="0">SUM(C13:S13)</f>
        <v>0</v>
      </c>
      <c r="U13" s="1662"/>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1465</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1464</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v>122</v>
      </c>
      <c r="Q19" s="1"/>
      <c r="R19" s="1"/>
      <c r="S19" s="1"/>
      <c r="T19" s="1664">
        <f t="shared" si="0"/>
        <v>122</v>
      </c>
      <c r="U19" s="1665" t="s">
        <v>1464</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12633.919</v>
      </c>
      <c r="Q22" s="2547"/>
      <c r="R22" s="2547"/>
      <c r="S22" s="2547"/>
      <c r="T22" s="1664">
        <f t="shared" si="0"/>
        <v>12633.919</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1475</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1496</v>
      </c>
      <c r="C25" s="1"/>
      <c r="D25" s="1"/>
      <c r="E25" s="1"/>
      <c r="F25" s="1"/>
      <c r="G25" s="1"/>
      <c r="H25" s="1"/>
      <c r="I25" s="1"/>
      <c r="J25" s="1"/>
      <c r="K25" s="1"/>
      <c r="L25" s="1"/>
      <c r="M25" s="1"/>
      <c r="N25" s="1"/>
      <c r="O25" s="1"/>
      <c r="P25" s="1">
        <v>443</v>
      </c>
      <c r="Q25" s="1"/>
      <c r="R25" s="1"/>
      <c r="S25" s="1"/>
      <c r="T25" s="1664">
        <f t="shared" si="0"/>
        <v>443</v>
      </c>
      <c r="U25" s="1665" t="s">
        <v>1459</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1495</v>
      </c>
      <c r="C26" s="1"/>
      <c r="D26" s="1"/>
      <c r="E26" s="1"/>
      <c r="F26" s="1"/>
      <c r="G26" s="1"/>
      <c r="H26" s="1"/>
      <c r="I26" s="1"/>
      <c r="J26" s="1"/>
      <c r="K26" s="1"/>
      <c r="L26" s="1"/>
      <c r="M26" s="1"/>
      <c r="N26" s="1"/>
      <c r="O26" s="1"/>
      <c r="P26" s="1">
        <v>1304</v>
      </c>
      <c r="Q26" s="1"/>
      <c r="R26" s="1"/>
      <c r="S26" s="1"/>
      <c r="T26" s="1664">
        <f t="shared" si="0"/>
        <v>1304</v>
      </c>
      <c r="U26" s="1665" t="s">
        <v>1463</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1466</v>
      </c>
      <c r="C27" s="1"/>
      <c r="D27" s="1"/>
      <c r="E27" s="1"/>
      <c r="F27" s="1"/>
      <c r="G27" s="1"/>
      <c r="H27" s="1"/>
      <c r="I27" s="1"/>
      <c r="J27" s="1"/>
      <c r="K27" s="1"/>
      <c r="L27" s="1"/>
      <c r="M27" s="1"/>
      <c r="N27" s="1"/>
      <c r="O27" s="1"/>
      <c r="P27" s="1">
        <v>979</v>
      </c>
      <c r="Q27" s="1"/>
      <c r="R27" s="1"/>
      <c r="S27" s="1"/>
      <c r="T27" s="1664">
        <f t="shared" si="0"/>
        <v>979</v>
      </c>
      <c r="U27" s="1665" t="s">
        <v>1474</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4180</v>
      </c>
      <c r="O48" s="199">
        <f t="shared" si="5"/>
        <v>2075</v>
      </c>
      <c r="P48" s="199">
        <f t="shared" si="5"/>
        <v>209651.4459135333</v>
      </c>
      <c r="Q48" s="199">
        <f t="shared" si="5"/>
        <v>0</v>
      </c>
      <c r="R48" s="199">
        <f t="shared" si="5"/>
        <v>190</v>
      </c>
      <c r="S48" s="199">
        <f t="shared" si="5"/>
        <v>0</v>
      </c>
      <c r="T48" s="199">
        <f t="shared" si="5"/>
        <v>242226.4459135333</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2633.3470000000002</v>
      </c>
      <c r="D53" s="2525">
        <v>11375.73</v>
      </c>
      <c r="E53" s="2536">
        <f>C53+D53</f>
        <v>14009.076999999999</v>
      </c>
      <c r="F53" s="2539"/>
      <c r="G53" s="2540" t="s">
        <v>1476</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231.81100000000001</v>
      </c>
      <c r="D54" s="2526">
        <v>1258.1890000000001</v>
      </c>
      <c r="E54" s="2537">
        <f t="shared" ref="E54:E82" si="6">C54+D54</f>
        <v>1490</v>
      </c>
      <c r="F54" s="2542"/>
      <c r="G54" s="2538" t="s">
        <v>1476</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2865.1580000000004</v>
      </c>
      <c r="D83" s="2527">
        <f t="shared" si="9"/>
        <v>12633.919</v>
      </c>
      <c r="E83" s="117">
        <f>SUM(E53:E82)</f>
        <v>15499.076999999999</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30" sqref="N30"/>
    </sheetView>
  </sheetViews>
  <sheetFormatPr defaultColWidth="8.81640625" defaultRowHeight="15"/>
  <cols>
    <col min="1" max="1" width="4.1796875" customWidth="1"/>
    <col min="2" max="2" width="69" customWidth="1"/>
    <col min="3" max="3" width="12" customWidth="1"/>
    <col min="4" max="4" width="13.1796875" customWidth="1"/>
    <col min="5" max="14" width="12.1796875" customWidth="1"/>
    <col min="15" max="15" width="13.81640625" style="753" customWidth="1"/>
    <col min="16" max="16" width="5.81640625" style="753" customWidth="1"/>
    <col min="17" max="17" width="32.453125" customWidth="1"/>
    <col min="18" max="18" width="95.81640625" customWidth="1"/>
  </cols>
  <sheetData>
    <row r="1" spans="1:44" ht="30">
      <c r="A1" s="79" t="str">
        <f>+Summary!A1</f>
        <v>Public Health Wales Trust</v>
      </c>
      <c r="B1" s="70"/>
      <c r="C1" s="70"/>
      <c r="D1" s="70"/>
      <c r="E1" s="70"/>
      <c r="F1" s="70"/>
      <c r="G1" s="70"/>
      <c r="H1" s="70"/>
      <c r="I1" s="70"/>
      <c r="J1" s="71"/>
      <c r="K1" s="71"/>
      <c r="L1" s="70"/>
      <c r="M1" s="150" t="s">
        <v>460</v>
      </c>
      <c r="N1" s="72" t="str">
        <f>+Summary!H1</f>
        <v>Jul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6">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6">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6">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6">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6">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6">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6">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6">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18035.028999999999</v>
      </c>
      <c r="H13" s="3">
        <f t="shared" ref="H13:N13" si="2">G13</f>
        <v>18035.028999999999</v>
      </c>
      <c r="I13" s="3">
        <f t="shared" si="2"/>
        <v>18035.028999999999</v>
      </c>
      <c r="J13" s="3">
        <f t="shared" si="2"/>
        <v>18035.028999999999</v>
      </c>
      <c r="K13" s="3">
        <f t="shared" si="2"/>
        <v>18035.028999999999</v>
      </c>
      <c r="L13" s="3">
        <f t="shared" si="2"/>
        <v>18035.028999999999</v>
      </c>
      <c r="M13" s="3">
        <f t="shared" si="2"/>
        <v>18035.028999999999</v>
      </c>
      <c r="N13" s="3">
        <f t="shared" si="2"/>
        <v>18035.028999999999</v>
      </c>
      <c r="O13" s="167">
        <f t="shared" si="0"/>
        <v>209651.91517000002</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1940.2860000000001</v>
      </c>
      <c r="H15" s="3">
        <f t="shared" ref="H15:N15" si="3">G15</f>
        <v>1940.2860000000001</v>
      </c>
      <c r="I15" s="3">
        <f t="shared" si="3"/>
        <v>1940.2860000000001</v>
      </c>
      <c r="J15" s="3">
        <f t="shared" si="3"/>
        <v>1940.2860000000001</v>
      </c>
      <c r="K15" s="3">
        <f t="shared" si="3"/>
        <v>1940.2860000000001</v>
      </c>
      <c r="L15" s="3">
        <f t="shared" si="3"/>
        <v>1940.2860000000001</v>
      </c>
      <c r="M15" s="3">
        <f t="shared" si="3"/>
        <v>1940.2860000000001</v>
      </c>
      <c r="N15" s="3">
        <f t="shared" si="3"/>
        <v>1940.2860000000001</v>
      </c>
      <c r="O15" s="167">
        <f>SUM(C15:N15)</f>
        <v>23899.002339999999</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f>AVERAGE(C18:F18)</f>
        <v>69.532250000000005</v>
      </c>
      <c r="H18" s="3">
        <f t="shared" ref="H18:N18" si="4">G18</f>
        <v>69.532250000000005</v>
      </c>
      <c r="I18" s="3">
        <f t="shared" si="4"/>
        <v>69.532250000000005</v>
      </c>
      <c r="J18" s="3">
        <f t="shared" si="4"/>
        <v>69.532250000000005</v>
      </c>
      <c r="K18" s="3">
        <f t="shared" si="4"/>
        <v>69.532250000000005</v>
      </c>
      <c r="L18" s="3">
        <f t="shared" si="4"/>
        <v>69.532250000000005</v>
      </c>
      <c r="M18" s="3">
        <f t="shared" si="4"/>
        <v>69.532250000000005</v>
      </c>
      <c r="N18" s="3">
        <f t="shared" si="4"/>
        <v>69.532250000000005</v>
      </c>
      <c r="O18" s="167">
        <f>SUM(C18:N18)</f>
        <v>834.38699999999983</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f>292.125+23.567</f>
        <v>315.69200000000001</v>
      </c>
      <c r="H20" s="3">
        <f>G20</f>
        <v>315.69200000000001</v>
      </c>
      <c r="I20" s="3">
        <f t="shared" ref="I20:M20" si="5">H20</f>
        <v>315.69200000000001</v>
      </c>
      <c r="J20" s="3">
        <f t="shared" si="5"/>
        <v>315.69200000000001</v>
      </c>
      <c r="K20" s="3">
        <f t="shared" si="5"/>
        <v>315.69200000000001</v>
      </c>
      <c r="L20" s="3">
        <f t="shared" si="5"/>
        <v>315.69200000000001</v>
      </c>
      <c r="M20" s="3">
        <f t="shared" si="5"/>
        <v>315.69200000000001</v>
      </c>
      <c r="N20" s="3">
        <f>M20+23.567</f>
        <v>339.25900000000001</v>
      </c>
      <c r="O20" s="167">
        <f t="shared" si="0"/>
        <v>5515.6763300000002</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20360.539249999998</v>
      </c>
      <c r="H21" s="169">
        <f t="shared" si="6"/>
        <v>20360.539249999998</v>
      </c>
      <c r="I21" s="169">
        <f t="shared" si="6"/>
        <v>20360.539249999998</v>
      </c>
      <c r="J21" s="169">
        <f t="shared" si="6"/>
        <v>20360.539249999998</v>
      </c>
      <c r="K21" s="169">
        <f t="shared" si="6"/>
        <v>20360.539249999998</v>
      </c>
      <c r="L21" s="169">
        <f t="shared" si="6"/>
        <v>20360.539249999998</v>
      </c>
      <c r="M21" s="169">
        <f t="shared" si="6"/>
        <v>20360.539249999998</v>
      </c>
      <c r="N21" s="169">
        <f t="shared" si="6"/>
        <v>20384.106249999997</v>
      </c>
      <c r="O21" s="169">
        <f t="shared" si="6"/>
        <v>239900.98084</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11204.701999999999</v>
      </c>
      <c r="H28" s="4">
        <f t="shared" ref="H28:M28" si="9">G28</f>
        <v>11204.701999999999</v>
      </c>
      <c r="I28" s="4">
        <f t="shared" si="9"/>
        <v>11204.701999999999</v>
      </c>
      <c r="J28" s="4">
        <f t="shared" si="9"/>
        <v>11204.701999999999</v>
      </c>
      <c r="K28" s="4">
        <f t="shared" si="9"/>
        <v>11204.701999999999</v>
      </c>
      <c r="L28" s="4">
        <f t="shared" si="9"/>
        <v>11204.701999999999</v>
      </c>
      <c r="M28" s="4">
        <f t="shared" si="9"/>
        <v>11204.701999999999</v>
      </c>
      <c r="N28" s="4">
        <f>M28</f>
        <v>11204.701999999999</v>
      </c>
      <c r="O28" s="723">
        <f t="shared" si="7"/>
        <v>135643.00250000003</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8129.058</v>
      </c>
      <c r="H29" s="4">
        <f t="shared" ref="H29:M29" si="10">G29</f>
        <v>8129.058</v>
      </c>
      <c r="I29" s="4">
        <f t="shared" si="10"/>
        <v>8129.058</v>
      </c>
      <c r="J29" s="4">
        <f t="shared" si="10"/>
        <v>8129.058</v>
      </c>
      <c r="K29" s="4">
        <f t="shared" si="10"/>
        <v>8129.058</v>
      </c>
      <c r="L29" s="4">
        <f t="shared" si="10"/>
        <v>8129.058</v>
      </c>
      <c r="M29" s="4">
        <f t="shared" si="10"/>
        <v>8129.058</v>
      </c>
      <c r="N29" s="4">
        <f>M29+2195</f>
        <v>10324.058000000001</v>
      </c>
      <c r="O29" s="723">
        <f t="shared" si="7"/>
        <v>99454.998210000005</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EFL'!C31</f>
        <v>2969</v>
      </c>
      <c r="O31" s="167">
        <f t="shared" si="7"/>
        <v>2969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f>'J - Capital In Year Schemes'!J78</f>
        <v>81.974999999999994</v>
      </c>
      <c r="H32" s="4">
        <f>'J - Capital In Year Schemes'!K78</f>
        <v>113</v>
      </c>
      <c r="I32" s="4">
        <f>'J - Capital In Year Schemes'!L78-215</f>
        <v>43</v>
      </c>
      <c r="J32" s="4">
        <f>'J - Capital In Year Schemes'!M78</f>
        <v>334</v>
      </c>
      <c r="K32" s="4">
        <f>'J - Capital In Year Schemes'!N78</f>
        <v>335</v>
      </c>
      <c r="L32" s="4">
        <f>'J - Capital In Year Schemes'!O78</f>
        <v>221</v>
      </c>
      <c r="M32" s="4">
        <f>'J - Capital In Year Schemes'!P78</f>
        <v>222</v>
      </c>
      <c r="N32" s="4">
        <f>'J - Capital In Year Schemes'!Q78</f>
        <v>211.6</v>
      </c>
      <c r="O32" s="723">
        <f t="shared" si="7"/>
        <v>1834.1611499999999</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19415.734999999997</v>
      </c>
      <c r="H34" s="169">
        <f t="shared" si="11"/>
        <v>19446.759999999998</v>
      </c>
      <c r="I34" s="169">
        <f t="shared" si="11"/>
        <v>19376.759999999998</v>
      </c>
      <c r="J34" s="169">
        <f t="shared" si="11"/>
        <v>19667.759999999998</v>
      </c>
      <c r="K34" s="169">
        <f t="shared" si="11"/>
        <v>19668.759999999998</v>
      </c>
      <c r="L34" s="169">
        <f t="shared" si="11"/>
        <v>19554.759999999998</v>
      </c>
      <c r="M34" s="169">
        <f t="shared" si="11"/>
        <v>19555.759999999998</v>
      </c>
      <c r="N34" s="169">
        <f t="shared" si="11"/>
        <v>24709.360000000001</v>
      </c>
      <c r="O34" s="169">
        <f t="shared" si="11"/>
        <v>239901.16186000005</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1</v>
      </c>
      <c r="G35" s="859">
        <f t="shared" si="12"/>
        <v>0</v>
      </c>
      <c r="H35" s="859">
        <f t="shared" si="12"/>
        <v>0</v>
      </c>
      <c r="I35" s="859">
        <f t="shared" si="12"/>
        <v>0</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944.80425000000105</v>
      </c>
      <c r="H36" s="167">
        <f t="shared" si="13"/>
        <v>913.77924999999959</v>
      </c>
      <c r="I36" s="167">
        <f t="shared" si="13"/>
        <v>983.77924999999959</v>
      </c>
      <c r="J36" s="167">
        <f t="shared" si="13"/>
        <v>692.77924999999959</v>
      </c>
      <c r="K36" s="167">
        <f t="shared" si="13"/>
        <v>691.77924999999959</v>
      </c>
      <c r="L36" s="167">
        <f t="shared" si="13"/>
        <v>805.77924999999959</v>
      </c>
      <c r="M36" s="167">
        <f t="shared" si="13"/>
        <v>804.77924999999959</v>
      </c>
      <c r="N36" s="167">
        <f t="shared" si="13"/>
        <v>-4325.2537500000035</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15001.397229999995</v>
      </c>
      <c r="I37" s="168">
        <f t="shared" si="14"/>
        <v>15915.176479999995</v>
      </c>
      <c r="J37" s="168">
        <f t="shared" si="14"/>
        <v>16898.955729999994</v>
      </c>
      <c r="K37" s="168">
        <f>J38</f>
        <v>17591.734979999994</v>
      </c>
      <c r="L37" s="168">
        <f>K38</f>
        <v>18283.514229999993</v>
      </c>
      <c r="M37" s="168">
        <f>L38</f>
        <v>19089.293479999993</v>
      </c>
      <c r="N37" s="168">
        <f>M38</f>
        <v>19894.072729999993</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15001.397229999995</v>
      </c>
      <c r="H38" s="167">
        <f t="shared" si="15"/>
        <v>15915.176479999995</v>
      </c>
      <c r="I38" s="167">
        <f t="shared" si="15"/>
        <v>16898.955729999994</v>
      </c>
      <c r="J38" s="167">
        <f t="shared" si="15"/>
        <v>17591.734979999994</v>
      </c>
      <c r="K38" s="167">
        <f t="shared" si="15"/>
        <v>18283.514229999993</v>
      </c>
      <c r="L38" s="167">
        <f t="shared" si="15"/>
        <v>19089.293479999993</v>
      </c>
      <c r="M38" s="167">
        <f t="shared" si="15"/>
        <v>19894.072729999993</v>
      </c>
      <c r="N38" s="167">
        <f t="shared" si="15"/>
        <v>15568.818979999989</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4</v>
      </c>
      <c r="D40" s="850">
        <f>+'B - Monthly Positions'!$C$5</f>
        <v>4</v>
      </c>
      <c r="E40" s="850">
        <f>+'B - Monthly Positions'!$C$5</f>
        <v>4</v>
      </c>
      <c r="F40" s="850">
        <f>+'B - Monthly Positions'!$C$5</f>
        <v>4</v>
      </c>
      <c r="G40" s="850">
        <f>+'B - Monthly Positions'!$C$5</f>
        <v>4</v>
      </c>
      <c r="H40" s="850">
        <f>+'B - Monthly Positions'!$C$5</f>
        <v>4</v>
      </c>
      <c r="I40" s="850">
        <f>+'B - Monthly Positions'!$C$5</f>
        <v>4</v>
      </c>
      <c r="J40" s="850">
        <f>+'B - Monthly Positions'!$C$5</f>
        <v>4</v>
      </c>
      <c r="K40" s="850">
        <f>+'B - Monthly Positions'!$C$5</f>
        <v>4</v>
      </c>
      <c r="L40" s="850">
        <f>+'B - Monthly Positions'!$C$5</f>
        <v>4</v>
      </c>
      <c r="M40" s="850">
        <f>+'B - Monthly Positions'!$C$5</f>
        <v>4</v>
      </c>
      <c r="N40" s="850">
        <f>+'B - Monthly Positions'!$C$5</f>
        <v>4</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19" sqref="N19"/>
    </sheetView>
  </sheetViews>
  <sheetFormatPr defaultColWidth="8.81640625" defaultRowHeight="15"/>
  <cols>
    <col min="1" max="1" width="4.81640625" customWidth="1"/>
    <col min="2" max="2" width="60.81640625" customWidth="1"/>
    <col min="3" max="18" width="12.453125" customWidth="1"/>
  </cols>
  <sheetData>
    <row r="1" spans="1:40" ht="30">
      <c r="A1" s="79" t="str">
        <f>+Summary!A1</f>
        <v>Public Health Wales Trust</v>
      </c>
      <c r="B1" s="79"/>
      <c r="C1" s="71"/>
      <c r="D1" s="71"/>
      <c r="E1" s="71"/>
      <c r="F1" s="71"/>
      <c r="G1" s="71"/>
      <c r="H1" s="71"/>
      <c r="I1" s="71"/>
      <c r="J1" s="71"/>
      <c r="K1" s="71"/>
      <c r="L1" s="71"/>
      <c r="M1" s="71"/>
      <c r="N1" s="150" t="s">
        <v>80</v>
      </c>
      <c r="O1" s="72" t="str">
        <f>Summary!H1</f>
        <v>Jul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7.399999999999999">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2"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2"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2"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2"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c r="G8" s="958">
        <f>+F8-$C8</f>
        <v>-0.95</v>
      </c>
      <c r="H8" s="957"/>
      <c r="I8" s="958">
        <f>+H8-$C8</f>
        <v>-0.95</v>
      </c>
      <c r="J8" s="957"/>
      <c r="K8" s="958">
        <f>+J8-$C8</f>
        <v>-0.95</v>
      </c>
      <c r="L8" s="957">
        <f>D8</f>
        <v>0.99770000000000003</v>
      </c>
      <c r="M8" s="958">
        <f>+L8-$C8</f>
        <v>4.7700000000000076E-2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c r="G9" s="958">
        <f t="shared" si="0"/>
        <v>-0.95</v>
      </c>
      <c r="H9" s="957"/>
      <c r="I9" s="958">
        <f>+H9-$C9</f>
        <v>-0.95</v>
      </c>
      <c r="J9" s="957"/>
      <c r="K9" s="958">
        <f>+J9-$C9</f>
        <v>-0.95</v>
      </c>
      <c r="L9" s="957">
        <f t="shared" ref="L9:L11" si="1">D9</f>
        <v>0.98819999999999997</v>
      </c>
      <c r="M9" s="958">
        <f>+L9-$C9</f>
        <v>3.8200000000000012E-2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c r="G10" s="958">
        <f t="shared" si="0"/>
        <v>-0.95</v>
      </c>
      <c r="H10" s="957"/>
      <c r="I10" s="958">
        <f>+H10-$C10</f>
        <v>-0.95</v>
      </c>
      <c r="J10" s="957"/>
      <c r="K10" s="958">
        <f>+J10-$C10</f>
        <v>-0.95</v>
      </c>
      <c r="L10" s="957">
        <f t="shared" si="1"/>
        <v>0.94730000000000003</v>
      </c>
      <c r="M10" s="958">
        <f>+L10-$C10</f>
        <v>-2.6999999999999247E-3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c r="G11" s="958">
        <f t="shared" si="0"/>
        <v>-0.95</v>
      </c>
      <c r="H11" s="957"/>
      <c r="I11" s="958">
        <f>+H11-$C11</f>
        <v>-0.95</v>
      </c>
      <c r="J11" s="957"/>
      <c r="K11" s="958">
        <f>+J11-$C11</f>
        <v>-0.95</v>
      </c>
      <c r="L11" s="957">
        <f t="shared" si="1"/>
        <v>0.96909999999999996</v>
      </c>
      <c r="M11" s="958">
        <f>+L11-$C11</f>
        <v>1.9100000000000006E-2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2"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2"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2"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c r="G18" s="959"/>
      <c r="H18" s="957"/>
      <c r="I18" s="959"/>
      <c r="J18" s="957"/>
      <c r="K18" s="959"/>
      <c r="L18" s="957">
        <f>D18</f>
        <v>0.38490000000000002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c r="G19" s="959"/>
      <c r="H19" s="957"/>
      <c r="I19" s="959"/>
      <c r="J19" s="957"/>
      <c r="K19" s="959"/>
      <c r="L19" s="957">
        <f t="shared" ref="L19:L21" si="2">D19</f>
        <v>0.44690000000000002</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c r="G20" s="959"/>
      <c r="H20" s="957"/>
      <c r="I20" s="959"/>
      <c r="J20" s="957"/>
      <c r="K20" s="959"/>
      <c r="L20" s="957">
        <f t="shared" si="2"/>
        <v>0.72850000000000004</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c r="G21" s="960"/>
      <c r="H21" s="957"/>
      <c r="I21" s="960"/>
      <c r="J21" s="957"/>
      <c r="K21" s="960"/>
      <c r="L21" s="957">
        <f t="shared" si="2"/>
        <v>0.70799999999999996</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1640625" defaultRowHeight="15"/>
  <cols>
    <col min="3" max="3" width="26.1796875" customWidth="1"/>
    <col min="5" max="5" width="43" customWidth="1"/>
    <col min="6" max="6" width="19.81640625" customWidth="1"/>
    <col min="7" max="18" width="6.453125" customWidth="1"/>
    <col min="19" max="19" width="5.816406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Jul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Jul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Jul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Jul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Jul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Jul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Jul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Jul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Jul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Jul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Jul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Jul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Jul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Jul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Jul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Jul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Jul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Jul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Jul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Jul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Jul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Jul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51.065034510854048</v>
      </c>
      <c r="L23" s="2895">
        <f>ORG!AB32</f>
        <v>-206.80675788783424</v>
      </c>
      <c r="M23" s="2895">
        <f>ORG!AC32</f>
        <v>31.990123633854637</v>
      </c>
      <c r="N23" s="2895">
        <f>ORG!AD32</f>
        <v>35.012229005392328</v>
      </c>
      <c r="O23" s="2895">
        <f>ORG!AE32</f>
        <v>-226.3297680328119</v>
      </c>
      <c r="P23" s="2895">
        <f>ORG!AF32</f>
        <v>56.490123633854637</v>
      </c>
      <c r="Q23" s="2895">
        <f>ORG!AG32</f>
        <v>20.519284376929818</v>
      </c>
      <c r="R23" s="2895">
        <f>ORG!AH32</f>
        <v>-216.42568025503397</v>
      </c>
      <c r="S23" s="2895">
        <f>ORG!O32</f>
        <v>-1430.9224074426691</v>
      </c>
      <c r="U23">
        <f t="shared" si="0"/>
        <v>-1430.9224074426691</v>
      </c>
    </row>
    <row r="24" spans="1:21">
      <c r="A24" s="2894" t="str">
        <f>ORG!$S$1</f>
        <v>Jul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Jul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-51.065034510854048</v>
      </c>
      <c r="L25" s="2895">
        <f>ORG!AB34</f>
        <v>206.80675788783424</v>
      </c>
      <c r="M25" s="2895">
        <f>ORG!AC34</f>
        <v>-31.990123633854637</v>
      </c>
      <c r="N25" s="2895">
        <f>ORG!AD34</f>
        <v>-35.012229005392328</v>
      </c>
      <c r="O25" s="2895">
        <f>ORG!AE34</f>
        <v>226.3297680328119</v>
      </c>
      <c r="P25" s="2895">
        <f>ORG!AF34</f>
        <v>-56.490123633854637</v>
      </c>
      <c r="Q25" s="2895">
        <f>ORG!AG34</f>
        <v>-20.519284376929818</v>
      </c>
      <c r="R25" s="2895">
        <f>ORG!AH34</f>
        <v>216.42568025503397</v>
      </c>
      <c r="S25" s="2895">
        <f>ORG!O34</f>
        <v>1430.9226374426692</v>
      </c>
      <c r="U25">
        <f t="shared" si="0"/>
        <v>1430.9226374426692</v>
      </c>
    </row>
    <row r="26" spans="1:21">
      <c r="A26" s="2894" t="str">
        <f>ORG!$S$1</f>
        <v>Jul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Jul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0</v>
      </c>
      <c r="L27" s="2895">
        <f>ORG!AB36</f>
        <v>0</v>
      </c>
      <c r="M27" s="2895">
        <f>ORG!AC36</f>
        <v>0</v>
      </c>
      <c r="N27" s="2895">
        <f>ORG!AD36</f>
        <v>0</v>
      </c>
      <c r="O27" s="2895">
        <f>ORG!AE36</f>
        <v>0</v>
      </c>
      <c r="P27" s="2895">
        <f>ORG!AF36</f>
        <v>0</v>
      </c>
      <c r="Q27" s="2895">
        <f>ORG!AG36</f>
        <v>0</v>
      </c>
      <c r="R27" s="2895">
        <f>ORG!AH36</f>
        <v>-157</v>
      </c>
      <c r="S27" s="2895">
        <f>ORG!O36</f>
        <v>0</v>
      </c>
      <c r="U27">
        <f t="shared" si="0"/>
        <v>0</v>
      </c>
    </row>
    <row r="28" spans="1:21">
      <c r="A28" s="2894" t="str">
        <f>ORG!$S$1</f>
        <v>Jul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Jul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Jul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Jul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Jul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Jul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Jul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Jul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Jul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Jul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Jul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Jul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Jul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Jul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3.694822225952521E-13</v>
      </c>
      <c r="L41" s="2895">
        <f>ORG!AB50</f>
        <v>-8.5265128291212022E-14</v>
      </c>
      <c r="M41" s="2895">
        <f>ORG!AC50</f>
        <v>-8.5265128291212022E-14</v>
      </c>
      <c r="N41" s="2895">
        <f>ORG!AD50</f>
        <v>5.9685589803848416E-13</v>
      </c>
      <c r="O41" s="2895">
        <f>ORG!AE50</f>
        <v>1.4210854715202004E-13</v>
      </c>
      <c r="P41" s="2895">
        <f>ORG!AF50</f>
        <v>-8.5265128291212022E-14</v>
      </c>
      <c r="Q41" s="2895">
        <f>ORG!AG50</f>
        <v>1.4210854715202004E-13</v>
      </c>
      <c r="R41" s="2895">
        <f>ORG!AH50</f>
        <v>-157.00000000000031</v>
      </c>
      <c r="S41" s="2895">
        <f>ORG!O50</f>
        <v>4.0000015815166989E-5</v>
      </c>
      <c r="U41">
        <f t="shared" si="1"/>
        <v>4.0000015815166989E-5</v>
      </c>
    </row>
    <row r="42" spans="1:21">
      <c r="A42" s="2894" t="str">
        <f>ORG!$S$1</f>
        <v>Jul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Jul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3.694822225952521E-13</v>
      </c>
      <c r="L43" s="2895">
        <f>ORG!AB54</f>
        <v>-8.5265128291212022E-14</v>
      </c>
      <c r="M43" s="2895">
        <f>ORG!AC54</f>
        <v>-8.5265128291212022E-14</v>
      </c>
      <c r="N43" s="2895">
        <f>ORG!AD54</f>
        <v>5.9685589803848416E-13</v>
      </c>
      <c r="O43" s="2895">
        <f>ORG!AE54</f>
        <v>1.4210854715202004E-13</v>
      </c>
      <c r="P43" s="2895">
        <f>ORG!AF54</f>
        <v>-8.5265128291212022E-14</v>
      </c>
      <c r="Q43" s="2895">
        <f>ORG!AG54</f>
        <v>1.4210854715202004E-13</v>
      </c>
      <c r="R43" s="2895">
        <f>ORG!AH54</f>
        <v>-157.00000000000031</v>
      </c>
      <c r="S43" s="2895">
        <f>ORG!O54</f>
        <v>1.5802470443304628E-11</v>
      </c>
      <c r="U43">
        <f>S43+T43</f>
        <v>1.5802470443304628E-11</v>
      </c>
    </row>
    <row r="44" spans="1:21">
      <c r="A44" s="2894" t="str">
        <f>ORG!$S$1</f>
        <v>Jul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Jul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Jul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Jul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Jul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Jul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Jul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Jul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Jul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Jul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Jul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Jul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Jul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Jul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Jul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Jul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Jul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Jul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Jul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Jul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Jul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Jul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-1430.9224074426691</v>
      </c>
      <c r="U65">
        <f t="shared" si="3"/>
        <v>-1430.9224074426691</v>
      </c>
    </row>
    <row r="66" spans="1:21">
      <c r="A66" s="2894" t="str">
        <f>ORG!$S$1</f>
        <v>Jul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Jul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1430.9226374426692</v>
      </c>
      <c r="U67">
        <f t="shared" si="3"/>
        <v>1430.9226374426692</v>
      </c>
    </row>
    <row r="68" spans="1:21">
      <c r="A68" s="2894" t="str">
        <f>ORG!$S$1</f>
        <v>Jul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Jul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Jul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Jul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Jul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Jul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Jul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Jul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Jul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Jul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Jul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Jul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Jul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Jul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Jul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Jul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4.0000015815166989E-5</v>
      </c>
      <c r="U83">
        <f t="shared" si="4"/>
        <v>4.0000015815166989E-5</v>
      </c>
    </row>
    <row r="84" spans="1:21">
      <c r="A84" s="2894" t="str">
        <f>ORG!$S$1</f>
        <v>Jul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Jul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Jul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Jul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Jul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Jul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Jul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Jul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Jul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Jul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Jul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Jul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Jul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Jul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Jul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Jul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Jul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Jul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Jul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Jul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Jul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Jul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Jul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Jul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Jul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Jul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Jul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Jul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Jul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Jul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Jul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Jul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Jul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Jul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Jul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Jul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Jul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Jul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Jul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Jul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Jul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Jul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Jul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Jul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Jul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Jul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Jul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Jul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Jul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Jul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Jul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Jul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Jul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Jul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Jul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Jul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Jul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Jul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Jul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Jul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Jul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Jul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Jul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Jul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Jul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Jul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Jul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Jul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Jul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Jul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Jul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Jul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Jul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Jul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Jul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Jul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Jul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Jul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Jul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Jul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Jul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Jul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Jul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Jul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Jul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Jul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Jul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Jul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Jul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Jul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Jul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Jul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Jul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Jul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Jul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Jul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Jul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Jul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Jul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Jul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Jul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Jul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Jul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Jul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Jul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Jul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Jul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Jul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Jul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Jul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Jul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Jul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Jul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Jul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Jul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Jul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Jul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Jul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Jul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Jul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Jul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Jul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Jul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Jul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Jul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Jul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Jul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Jul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Jul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Jul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Jul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Jul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Jul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Jul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Jul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Jul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Jul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Jul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Jul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Jul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Jul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Jul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Jul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Jul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Jul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Jul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Jul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Jul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Jul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Jul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Jul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Jul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Jul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Jul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Jul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Jul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Jul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Jul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Jul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Jul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Jul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Jul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Jul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Jul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Jul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Jul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Jul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Jul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Jul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Jul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Jul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Jul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Jul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Jul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Jul 23</v>
      </c>
      <c r="B258" t="str">
        <f>ORG!$M$1</f>
        <v>Public Health Wales Trust</v>
      </c>
      <c r="C258" t="str">
        <f>ORG!$AZ$5</f>
        <v xml:space="preserve">Table A2 - Overview Of Key Risks &amp; Opportunities </v>
      </c>
      <c r="D258">
        <f>ORG!AZ34</f>
        <v>26</v>
      </c>
      <c r="E258">
        <f>ORG!BC34</f>
        <v>0</v>
      </c>
      <c r="F258" t="str">
        <f>ORG!BA34</f>
        <v>Total Risks</v>
      </c>
      <c r="S258" s="2895">
        <f>ORG!BB34</f>
        <v>-979</v>
      </c>
      <c r="U258">
        <f t="shared" si="11"/>
        <v>-979</v>
      </c>
    </row>
    <row r="259" spans="1:21">
      <c r="A259" s="2894" t="str">
        <f>ORG!$S$1</f>
        <v>Jul 23</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Jul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Jul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Jul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Jul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Jul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Jul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Jul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Jul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4.0000015815166989E-5</v>
      </c>
      <c r="U267">
        <f t="shared" si="12"/>
        <v>4.0000015815166989E-5</v>
      </c>
    </row>
    <row r="268" spans="1:21">
      <c r="A268" s="2894" t="str">
        <f>ORG!$S$1</f>
        <v>Jul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4.0000015815166989E-5</v>
      </c>
      <c r="U268">
        <f t="shared" si="12"/>
        <v>4.0000015815166989E-5</v>
      </c>
    </row>
    <row r="269" spans="1:21">
      <c r="A269" s="2894" t="str">
        <f>ORG!$S$1</f>
        <v>Jul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-978.99995999998418</v>
      </c>
      <c r="U269">
        <f t="shared" si="12"/>
        <v>-978.99995999998418</v>
      </c>
    </row>
    <row r="270" spans="1:21">
      <c r="A270" s="2894" t="str">
        <f>ORG!$S$1</f>
        <v>Jul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4.0000015815166989E-5</v>
      </c>
      <c r="U270">
        <f t="shared" si="12"/>
        <v>4.0000015815166989E-5</v>
      </c>
    </row>
    <row r="271" spans="1:21">
      <c r="A271" s="2894" t="str">
        <f>ORG!$S$1</f>
        <v>Jul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Jul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Jul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1958</v>
      </c>
      <c r="L273">
        <f>'B - Monthly Positions'!I13</f>
        <v>1958</v>
      </c>
      <c r="M273">
        <f>'B - Monthly Positions'!J13</f>
        <v>1951</v>
      </c>
      <c r="N273">
        <f>'B - Monthly Positions'!K13</f>
        <v>1945</v>
      </c>
      <c r="O273">
        <f>'B - Monthly Positions'!L13</f>
        <v>1945</v>
      </c>
      <c r="P273">
        <f>'B - Monthly Positions'!M13</f>
        <v>1945</v>
      </c>
      <c r="Q273">
        <f>'B - Monthly Positions'!N13</f>
        <v>1945</v>
      </c>
      <c r="R273">
        <f>'B - Monthly Positions'!O13</f>
        <v>1945</v>
      </c>
      <c r="S273">
        <f>'B - Monthly Positions'!Q13</f>
        <v>23899</v>
      </c>
      <c r="U273">
        <f t="shared" si="12"/>
        <v>23899</v>
      </c>
    </row>
    <row r="274" spans="1:21">
      <c r="A274" s="2894" t="str">
        <f>ORG!$S$1</f>
        <v>Jul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18</v>
      </c>
      <c r="L274">
        <f>'B - Monthly Positions'!I14</f>
        <v>18</v>
      </c>
      <c r="M274">
        <f>'B - Monthly Positions'!J14</f>
        <v>18</v>
      </c>
      <c r="N274">
        <f>'B - Monthly Positions'!K14</f>
        <v>18</v>
      </c>
      <c r="O274">
        <f>'B - Monthly Positions'!L14</f>
        <v>18</v>
      </c>
      <c r="P274">
        <f>'B - Monthly Positions'!M14</f>
        <v>18</v>
      </c>
      <c r="Q274">
        <f>'B - Monthly Positions'!N14</f>
        <v>18</v>
      </c>
      <c r="R274">
        <f>'B - Monthly Positions'!O14</f>
        <v>18</v>
      </c>
      <c r="S274">
        <f>'B - Monthly Positions'!Q14</f>
        <v>221</v>
      </c>
      <c r="U274">
        <f t="shared" si="12"/>
        <v>221</v>
      </c>
    </row>
    <row r="275" spans="1:21">
      <c r="A275" s="2894" t="str">
        <f>ORG!$S$1</f>
        <v>Jul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16919.13026876175</v>
      </c>
      <c r="L275">
        <f>'B - Monthly Positions'!I15</f>
        <v>17090.865593371585</v>
      </c>
      <c r="M275">
        <f>'B - Monthly Positions'!J15</f>
        <v>17692.233070619674</v>
      </c>
      <c r="N275">
        <f>'B - Monthly Positions'!K15</f>
        <v>17424.474604846997</v>
      </c>
      <c r="O275">
        <f>'B - Monthly Positions'!L15</f>
        <v>17804.470570619673</v>
      </c>
      <c r="P275">
        <f>'B - Monthly Positions'!M15</f>
        <v>17495.740070619671</v>
      </c>
      <c r="Q275">
        <f>'B - Monthly Positions'!N15</f>
        <v>17472.085239074317</v>
      </c>
      <c r="R275">
        <f>'B - Monthly Positions'!O15</f>
        <v>21903.446495619672</v>
      </c>
      <c r="S275">
        <f>'B - Monthly Positions'!Q15</f>
        <v>209651.4459135333</v>
      </c>
      <c r="U275">
        <f t="shared" si="12"/>
        <v>209651.4459135333</v>
      </c>
    </row>
    <row r="276" spans="1:21">
      <c r="A276" s="2894" t="str">
        <f>ORG!$S$1</f>
        <v>Jul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457.09100000000001</v>
      </c>
      <c r="L276">
        <f>'B - Monthly Positions'!I16</f>
        <v>419.49799999999999</v>
      </c>
      <c r="M276">
        <f>'B - Monthly Positions'!J16</f>
        <v>417.58699999999999</v>
      </c>
      <c r="N276">
        <f>'B - Monthly Positions'!K16</f>
        <v>417.58600000000001</v>
      </c>
      <c r="O276">
        <f>'B - Monthly Positions'!L16</f>
        <v>417.59199999999998</v>
      </c>
      <c r="P276">
        <f>'B - Monthly Positions'!M16</f>
        <v>415.59199999999998</v>
      </c>
      <c r="Q276">
        <f>'B - Monthly Positions'!N16</f>
        <v>413.09100000000001</v>
      </c>
      <c r="R276">
        <f>'B - Monthly Positions'!O16</f>
        <v>412.77100000000002</v>
      </c>
      <c r="S276">
        <f>'B - Monthly Positions'!Q16</f>
        <v>5672.808</v>
      </c>
      <c r="U276">
        <f t="shared" si="12"/>
        <v>5672.808</v>
      </c>
    </row>
    <row r="277" spans="1:21">
      <c r="A277" s="2894" t="str">
        <f>ORG!$S$1</f>
        <v>Jul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19352.22126876175</v>
      </c>
      <c r="L277">
        <f>'B - Monthly Positions'!I17</f>
        <v>19486.363593371585</v>
      </c>
      <c r="M277">
        <f>'B - Monthly Positions'!J17</f>
        <v>20078.820070619673</v>
      </c>
      <c r="N277">
        <f>'B - Monthly Positions'!K17</f>
        <v>19805.060604846996</v>
      </c>
      <c r="O277">
        <f>'B - Monthly Positions'!L17</f>
        <v>20185.062570619673</v>
      </c>
      <c r="P277">
        <f>'B - Monthly Positions'!M17</f>
        <v>19874.332070619672</v>
      </c>
      <c r="Q277">
        <f>'B - Monthly Positions'!N17</f>
        <v>19848.176239074317</v>
      </c>
      <c r="R277">
        <f>'B - Monthly Positions'!O17</f>
        <v>24279.217495619672</v>
      </c>
      <c r="S277">
        <f>'B - Monthly Positions'!Q17</f>
        <v>239444.25391353332</v>
      </c>
      <c r="U277">
        <f t="shared" si="12"/>
        <v>239444.25391353332</v>
      </c>
    </row>
    <row r="278" spans="1:21">
      <c r="A278" s="2894" t="str">
        <f>ORG!$S$1</f>
        <v>Jul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Jul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Jul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10913.532233333333</v>
      </c>
      <c r="L280">
        <f>'B - Monthly Positions'!I20</f>
        <v>10993.259676666667</v>
      </c>
      <c r="M280">
        <f>'B - Monthly Positions'!J20</f>
        <v>11098.102576666666</v>
      </c>
      <c r="N280">
        <f>'B - Monthly Positions'!K20</f>
        <v>11108.102576666666</v>
      </c>
      <c r="O280">
        <f>'B - Monthly Positions'!L20</f>
        <v>11113.102576666666</v>
      </c>
      <c r="P280">
        <f>'B - Monthly Positions'!M20</f>
        <v>11108.102576666666</v>
      </c>
      <c r="Q280">
        <f>'B - Monthly Positions'!N20</f>
        <v>11100.259676666667</v>
      </c>
      <c r="R280">
        <f>'B - Monthly Positions'!O20</f>
        <v>11461.399441666666</v>
      </c>
      <c r="S280">
        <f>'B - Monthly Positions'!Q20</f>
        <v>135642.86133499999</v>
      </c>
      <c r="U280">
        <f t="shared" si="12"/>
        <v>135642.86133499999</v>
      </c>
    </row>
    <row r="281" spans="1:21">
      <c r="A281" s="2894" t="str">
        <f>ORG!$S$1</f>
        <v>Jul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7893.5970354284145</v>
      </c>
      <c r="L281">
        <f>'B - Monthly Positions'!I21</f>
        <v>7947.5409167049183</v>
      </c>
      <c r="M281">
        <f>'B - Monthly Positions'!J21</f>
        <v>8435.4554939530062</v>
      </c>
      <c r="N281">
        <f>'B - Monthly Positions'!K21</f>
        <v>8151.698028180328</v>
      </c>
      <c r="O281">
        <f>'B - Monthly Positions'!L21</f>
        <v>8526.6929939530055</v>
      </c>
      <c r="P281">
        <f>'B - Monthly Positions'!M21</f>
        <v>8220.9554939530062</v>
      </c>
      <c r="Q281">
        <f>'B - Monthly Positions'!N21</f>
        <v>8202.8025624076508</v>
      </c>
      <c r="R281">
        <f>'B - Monthly Positions'!O21</f>
        <v>12430.559053953006</v>
      </c>
      <c r="S281">
        <f>'B - Monthly Positions'!Q21</f>
        <v>97259.830578533336</v>
      </c>
      <c r="U281">
        <f t="shared" si="12"/>
        <v>97259.830578533336</v>
      </c>
    </row>
    <row r="282" spans="1:21">
      <c r="A282" s="2894" t="str">
        <f>ORG!$S$1</f>
        <v>Jul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Jul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Jul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Jul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Jul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Jul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Jul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Jul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Jul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Jul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Jul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518.58999999999992</v>
      </c>
      <c r="L292">
        <f>'B - Monthly Positions'!I32</f>
        <v>518.58999999999992</v>
      </c>
      <c r="M292">
        <f>'B - Monthly Positions'!J32</f>
        <v>518.58999999999992</v>
      </c>
      <c r="N292">
        <f>'B - Monthly Positions'!K32</f>
        <v>518.58999999999992</v>
      </c>
      <c r="O292">
        <f>'B - Monthly Positions'!L32</f>
        <v>518.58999999999992</v>
      </c>
      <c r="P292">
        <f>'B - Monthly Positions'!M32</f>
        <v>518.58999999999992</v>
      </c>
      <c r="Q292">
        <f>'B - Monthly Positions'!N32</f>
        <v>518.58999999999992</v>
      </c>
      <c r="R292">
        <f>'B - Monthly Positions'!O32</f>
        <v>518.58999999999992</v>
      </c>
      <c r="S292">
        <f>'B - Monthly Positions'!Q32</f>
        <v>6222.8810000000003</v>
      </c>
      <c r="U292">
        <f t="shared" si="12"/>
        <v>6222.8810000000003</v>
      </c>
    </row>
    <row r="293" spans="1:21">
      <c r="A293" s="2894" t="str">
        <f>ORG!$S$1</f>
        <v>Jul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26.590000000000003</v>
      </c>
      <c r="L293">
        <f>'B - Monthly Positions'!I33</f>
        <v>26.590000000000003</v>
      </c>
      <c r="M293">
        <f>'B - Monthly Positions'!J33</f>
        <v>26.590000000000003</v>
      </c>
      <c r="N293">
        <f>'B - Monthly Positions'!K33</f>
        <v>26.590000000000003</v>
      </c>
      <c r="O293">
        <f>'B - Monthly Positions'!L33</f>
        <v>26.590000000000003</v>
      </c>
      <c r="P293">
        <f>'B - Monthly Positions'!M33</f>
        <v>26.590000000000003</v>
      </c>
      <c r="Q293">
        <f>'B - Monthly Positions'!N33</f>
        <v>26.590000000000003</v>
      </c>
      <c r="R293">
        <f>'B - Monthly Positions'!O33</f>
        <v>26.590000000000003</v>
      </c>
      <c r="S293">
        <f>'B - Monthly Positions'!Q33</f>
        <v>319.03000000000003</v>
      </c>
      <c r="U293">
        <f t="shared" si="12"/>
        <v>319.03000000000003</v>
      </c>
    </row>
    <row r="294" spans="1:21">
      <c r="A294" s="2894" t="str">
        <f>ORG!$S$1</f>
        <v>Jul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Jul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Jul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19352.309268761746</v>
      </c>
      <c r="L296">
        <f>'B - Monthly Positions'!I36</f>
        <v>19485.980593371583</v>
      </c>
      <c r="M296">
        <f>'B - Monthly Positions'!J36</f>
        <v>20078.738070619671</v>
      </c>
      <c r="N296">
        <f>'B - Monthly Positions'!K36</f>
        <v>19804.980604846995</v>
      </c>
      <c r="O296">
        <f>'B - Monthly Positions'!L36</f>
        <v>20184.975570619674</v>
      </c>
      <c r="P296">
        <f>'B - Monthly Positions'!M36</f>
        <v>19874.238070619671</v>
      </c>
      <c r="Q296">
        <f>'B - Monthly Positions'!N36</f>
        <v>19848.242239074316</v>
      </c>
      <c r="R296">
        <f>'B - Monthly Positions'!O36</f>
        <v>24437.138495619671</v>
      </c>
      <c r="S296">
        <f>'B - Monthly Positions'!Q36</f>
        <v>239444.60291353331</v>
      </c>
      <c r="U296">
        <f t="shared" si="12"/>
        <v>239444.60291353331</v>
      </c>
    </row>
    <row r="297" spans="1:21">
      <c r="A297" s="2894" t="str">
        <f>ORG!$S$1</f>
        <v>Jul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-8.7999999996100087E-2</v>
      </c>
      <c r="L297">
        <f>'B - Monthly Positions'!I37</f>
        <v>0.38300000000162981</v>
      </c>
      <c r="M297">
        <f>'B - Monthly Positions'!J37</f>
        <v>8.2000000002153683E-2</v>
      </c>
      <c r="N297">
        <f>'B - Monthly Positions'!K37</f>
        <v>8.000000000174623E-2</v>
      </c>
      <c r="O297">
        <f>'B - Monthly Positions'!L37</f>
        <v>8.6999999999534339E-2</v>
      </c>
      <c r="P297">
        <f>'B - Monthly Positions'!M37</f>
        <v>9.4000000000960426E-2</v>
      </c>
      <c r="Q297">
        <f>'B - Monthly Positions'!N37</f>
        <v>-6.5999999998894054E-2</v>
      </c>
      <c r="R297">
        <f>'B - Monthly Positions'!O37</f>
        <v>-157.92099999999846</v>
      </c>
      <c r="S297">
        <f>'B - Monthly Positions'!Q37</f>
        <v>-0.34899999998742715</v>
      </c>
      <c r="U297">
        <f t="shared" si="12"/>
        <v>-0.34899999998742715</v>
      </c>
    </row>
    <row r="298" spans="1:21">
      <c r="A298" s="2894" t="str">
        <f>ORG!$S$1</f>
        <v>Jul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Jul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Jul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Jul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Jul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Jul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Jul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Jul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Jul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217179.69191353332</v>
      </c>
      <c r="U306">
        <f t="shared" si="12"/>
        <v>217179.69191353332</v>
      </c>
    </row>
    <row r="307" spans="1:21">
      <c r="A307" s="2894" t="str">
        <f>ORG!$S$1</f>
        <v>Jul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2418</v>
      </c>
      <c r="U307">
        <f t="shared" si="12"/>
        <v>2418</v>
      </c>
    </row>
    <row r="308" spans="1:21">
      <c r="A308" s="2894" t="str">
        <f>ORG!$S$1</f>
        <v>Jul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13305</v>
      </c>
      <c r="U308">
        <f t="shared" si="12"/>
        <v>13305</v>
      </c>
    </row>
    <row r="309" spans="1:21">
      <c r="A309" s="2894" t="str">
        <f>ORG!$S$1</f>
        <v>Jul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Jul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232902.69191353332</v>
      </c>
      <c r="U310">
        <f t="shared" si="12"/>
        <v>232902.69191353332</v>
      </c>
    </row>
    <row r="311" spans="1:21">
      <c r="A311" s="2894" t="str">
        <f>ORG!$S$1</f>
        <v>Jul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168.17</v>
      </c>
      <c r="L311">
        <f>'B - Monthly Positions'!I72</f>
        <v>168.17</v>
      </c>
      <c r="M311">
        <f>'B - Monthly Positions'!J72</f>
        <v>168.17</v>
      </c>
      <c r="N311">
        <f>'B - Monthly Positions'!K72</f>
        <v>168.17</v>
      </c>
      <c r="O311">
        <f>'B - Monthly Positions'!L72</f>
        <v>168.17</v>
      </c>
      <c r="P311">
        <f>'B - Monthly Positions'!M72</f>
        <v>168.17</v>
      </c>
      <c r="Q311">
        <f>'B - Monthly Positions'!N72</f>
        <v>168.17</v>
      </c>
      <c r="R311">
        <f>'B - Monthly Positions'!O72</f>
        <v>168.17</v>
      </c>
      <c r="S311">
        <f>'B - Monthly Positions'!Q72</f>
        <v>2017.8509999999999</v>
      </c>
      <c r="U311">
        <f t="shared" si="12"/>
        <v>2017.8509999999999</v>
      </c>
    </row>
    <row r="312" spans="1:21">
      <c r="A312" s="2894" t="str">
        <f>ORG!$S$1</f>
        <v>Jul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226.25</v>
      </c>
      <c r="L312">
        <f>'B - Monthly Positions'!I73</f>
        <v>226.25</v>
      </c>
      <c r="M312">
        <f>'B - Monthly Positions'!J73</f>
        <v>226.25</v>
      </c>
      <c r="N312">
        <f>'B - Monthly Positions'!K73</f>
        <v>226.25</v>
      </c>
      <c r="O312">
        <f>'B - Monthly Positions'!L73</f>
        <v>226.25</v>
      </c>
      <c r="P312">
        <f>'B - Monthly Positions'!M73</f>
        <v>226.25</v>
      </c>
      <c r="Q312">
        <f>'B - Monthly Positions'!N73</f>
        <v>226.25</v>
      </c>
      <c r="R312">
        <f>'B - Monthly Positions'!O73</f>
        <v>226.25</v>
      </c>
      <c r="S312">
        <f>'B - Monthly Positions'!Q73</f>
        <v>2715</v>
      </c>
      <c r="U312">
        <f t="shared" si="12"/>
        <v>2715</v>
      </c>
    </row>
    <row r="313" spans="1:21">
      <c r="A313" s="2894" t="str">
        <f>ORG!$S$1</f>
        <v>Jul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Jul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Jul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Jul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518.58999999999992</v>
      </c>
      <c r="L316">
        <f>'B - Monthly Positions'!I77</f>
        <v>518.58999999999992</v>
      </c>
      <c r="M316">
        <f>'B - Monthly Positions'!J77</f>
        <v>518.58999999999992</v>
      </c>
      <c r="N316">
        <f>'B - Monthly Positions'!K77</f>
        <v>518.58999999999992</v>
      </c>
      <c r="O316">
        <f>'B - Monthly Positions'!L77</f>
        <v>518.58999999999992</v>
      </c>
      <c r="P316">
        <f>'B - Monthly Positions'!M77</f>
        <v>518.58999999999992</v>
      </c>
      <c r="Q316">
        <f>'B - Monthly Positions'!N77</f>
        <v>518.58999999999992</v>
      </c>
      <c r="R316">
        <f>'B - Monthly Positions'!O77</f>
        <v>518.58999999999992</v>
      </c>
      <c r="S316">
        <f>'B - Monthly Positions'!Q77</f>
        <v>6222.8810000000003</v>
      </c>
      <c r="U316">
        <f t="shared" si="12"/>
        <v>6222.8810000000003</v>
      </c>
    </row>
    <row r="317" spans="1:21">
      <c r="A317" s="2894" t="str">
        <f>ORG!$S$1</f>
        <v>Jul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10.17</v>
      </c>
      <c r="L317">
        <f>'B - Monthly Positions'!I79</f>
        <v>10.17</v>
      </c>
      <c r="M317">
        <f>'B - Monthly Positions'!J79</f>
        <v>10.17</v>
      </c>
      <c r="N317">
        <f>'B - Monthly Positions'!K79</f>
        <v>10.17</v>
      </c>
      <c r="O317">
        <f>'B - Monthly Positions'!L79</f>
        <v>10.17</v>
      </c>
      <c r="P317">
        <f>'B - Monthly Positions'!M79</f>
        <v>10.17</v>
      </c>
      <c r="Q317">
        <f>'B - Monthly Positions'!N79</f>
        <v>10.17</v>
      </c>
      <c r="R317">
        <f>'B - Monthly Positions'!O79</f>
        <v>10.17</v>
      </c>
      <c r="S317">
        <f>'B - Monthly Positions'!Q79</f>
        <v>122</v>
      </c>
      <c r="U317">
        <f t="shared" si="12"/>
        <v>122</v>
      </c>
    </row>
    <row r="318" spans="1:21">
      <c r="A318" s="2894" t="str">
        <f>ORG!$S$1</f>
        <v>Jul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Jul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Jul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26.590000000000003</v>
      </c>
      <c r="L320">
        <f>'B - Monthly Positions'!I82</f>
        <v>26.590000000000003</v>
      </c>
      <c r="M320">
        <f>'B - Monthly Positions'!J82</f>
        <v>26.590000000000003</v>
      </c>
      <c r="N320">
        <f>'B - Monthly Positions'!K82</f>
        <v>26.590000000000003</v>
      </c>
      <c r="O320">
        <f>'B - Monthly Positions'!L82</f>
        <v>26.590000000000003</v>
      </c>
      <c r="P320">
        <f>'B - Monthly Positions'!M82</f>
        <v>26.590000000000003</v>
      </c>
      <c r="Q320">
        <f>'B - Monthly Positions'!N82</f>
        <v>26.590000000000003</v>
      </c>
      <c r="R320">
        <f>'B - Monthly Positions'!O82</f>
        <v>26.590000000000003</v>
      </c>
      <c r="S320">
        <f>'B - Monthly Positions'!Q82</f>
        <v>319.03000000000003</v>
      </c>
      <c r="U320">
        <f t="shared" si="12"/>
        <v>319.03000000000003</v>
      </c>
    </row>
    <row r="321" spans="1:21">
      <c r="A321" s="2894" t="str">
        <f>ORG!$S$1</f>
        <v>Jul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Jul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Jul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Jul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Jul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Jul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Jul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Jul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Jul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Jul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Jul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Jul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Jul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Jul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Jul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Jul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Jul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Jul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Jul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Jul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Jul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Jul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Jul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Jul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Jul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Jul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Jul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Jul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Jul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Jul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Jul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Jul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6066.9131666666663</v>
      </c>
      <c r="L352">
        <f>'B2 - Pay &amp; Agency'!H10</f>
        <v>6131.3547349999999</v>
      </c>
      <c r="M352">
        <f>'B2 - Pay &amp; Agency'!I10</f>
        <v>6235.1976350000004</v>
      </c>
      <c r="N352">
        <f>'B2 - Pay &amp; Agency'!J10</f>
        <v>6245.1976350000004</v>
      </c>
      <c r="O352">
        <f>'B2 - Pay &amp; Agency'!K10</f>
        <v>6250.1976350000004</v>
      </c>
      <c r="P352">
        <f>'B2 - Pay &amp; Agency'!L10</f>
        <v>6241.1976350000004</v>
      </c>
      <c r="Q352">
        <f>'B2 - Pay &amp; Agency'!M10</f>
        <v>6236.3547349999999</v>
      </c>
      <c r="R352">
        <f>'B2 - Pay &amp; Agency'!N10</f>
        <v>6548.4944999999998</v>
      </c>
      <c r="S352">
        <f>'B2 - Pay &amp; Agency'!P10</f>
        <v>76507.907676666684</v>
      </c>
      <c r="U352">
        <f t="shared" ref="U352:U382" si="14">S352+T352</f>
        <v>76507.907676666684</v>
      </c>
    </row>
    <row r="353" spans="1:21">
      <c r="A353" s="2894" t="str">
        <f>ORG!$S$1</f>
        <v>Jul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1400</v>
      </c>
      <c r="L353">
        <f>'B2 - Pay &amp; Agency'!H11</f>
        <v>1400</v>
      </c>
      <c r="M353">
        <f>'B2 - Pay &amp; Agency'!I11</f>
        <v>1397</v>
      </c>
      <c r="N353">
        <f>'B2 - Pay &amp; Agency'!J11</f>
        <v>1397</v>
      </c>
      <c r="O353">
        <f>'B2 - Pay &amp; Agency'!K11</f>
        <v>1397</v>
      </c>
      <c r="P353">
        <f>'B2 - Pay &amp; Agency'!L11</f>
        <v>1397</v>
      </c>
      <c r="Q353">
        <f>'B2 - Pay &amp; Agency'!M11</f>
        <v>1397</v>
      </c>
      <c r="R353">
        <f>'B2 - Pay &amp; Agency'!N11</f>
        <v>1420</v>
      </c>
      <c r="S353">
        <f>'B2 - Pay &amp; Agency'!P11</f>
        <v>16344</v>
      </c>
      <c r="U353">
        <f t="shared" si="14"/>
        <v>16344</v>
      </c>
    </row>
    <row r="354" spans="1:21">
      <c r="A354" s="2894" t="str">
        <f>ORG!$S$1</f>
        <v>Jul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452</v>
      </c>
      <c r="L354">
        <f>'B2 - Pay &amp; Agency'!H12</f>
        <v>452</v>
      </c>
      <c r="M354">
        <f>'B2 - Pay &amp; Agency'!I12</f>
        <v>452</v>
      </c>
      <c r="N354">
        <f>'B2 - Pay &amp; Agency'!J12</f>
        <v>452</v>
      </c>
      <c r="O354">
        <f>'B2 - Pay &amp; Agency'!K12</f>
        <v>452</v>
      </c>
      <c r="P354">
        <f>'B2 - Pay &amp; Agency'!L12</f>
        <v>452</v>
      </c>
      <c r="Q354">
        <f>'B2 - Pay &amp; Agency'!M12</f>
        <v>452</v>
      </c>
      <c r="R354">
        <f>'B2 - Pay &amp; Agency'!N12</f>
        <v>461</v>
      </c>
      <c r="S354">
        <f>'B2 - Pay &amp; Agency'!P12</f>
        <v>5755</v>
      </c>
      <c r="U354">
        <f t="shared" si="14"/>
        <v>5755</v>
      </c>
    </row>
    <row r="355" spans="1:21">
      <c r="A355" s="2894" t="str">
        <f>ORG!$S$1</f>
        <v>Jul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Jul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299.62175000000002</v>
      </c>
      <c r="L356">
        <f>'B2 - Pay &amp; Agency'!H14</f>
        <v>299.62175000000002</v>
      </c>
      <c r="M356">
        <f>'B2 - Pay &amp; Agency'!I14</f>
        <v>300.62175000000002</v>
      </c>
      <c r="N356">
        <f>'B2 - Pay &amp; Agency'!J14</f>
        <v>300.62175000000002</v>
      </c>
      <c r="O356">
        <f>'B2 - Pay &amp; Agency'!K14</f>
        <v>300.62175000000002</v>
      </c>
      <c r="P356">
        <f>'B2 - Pay &amp; Agency'!L14</f>
        <v>300.62175000000002</v>
      </c>
      <c r="Q356">
        <f>'B2 - Pay &amp; Agency'!M14</f>
        <v>300.62175000000002</v>
      </c>
      <c r="R356">
        <f>'B2 - Pay &amp; Agency'!N14</f>
        <v>300.62175000000002</v>
      </c>
      <c r="S356">
        <f>'B2 - Pay &amp; Agency'!P14</f>
        <v>3786.9740000000011</v>
      </c>
      <c r="U356">
        <f t="shared" si="14"/>
        <v>3786.9740000000011</v>
      </c>
    </row>
    <row r="357" spans="1:21">
      <c r="A357" s="2894" t="str">
        <f>ORG!$S$1</f>
        <v>Jul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1125</v>
      </c>
      <c r="L357">
        <f>'B2 - Pay &amp; Agency'!H15</f>
        <v>1126</v>
      </c>
      <c r="M357">
        <f>'B2 - Pay &amp; Agency'!I15</f>
        <v>1127</v>
      </c>
      <c r="N357">
        <f>'B2 - Pay &amp; Agency'!J15</f>
        <v>1127</v>
      </c>
      <c r="O357">
        <f>'B2 - Pay &amp; Agency'!K15</f>
        <v>1127</v>
      </c>
      <c r="P357">
        <f>'B2 - Pay &amp; Agency'!L15</f>
        <v>1131</v>
      </c>
      <c r="Q357">
        <f>'B2 - Pay &amp; Agency'!M15</f>
        <v>1128</v>
      </c>
      <c r="R357">
        <f>'B2 - Pay &amp; Agency'!N15</f>
        <v>1128</v>
      </c>
      <c r="S357">
        <f>'B2 - Pay &amp; Agency'!P15</f>
        <v>13450</v>
      </c>
      <c r="U357">
        <f t="shared" si="14"/>
        <v>13450</v>
      </c>
    </row>
    <row r="358" spans="1:21">
      <c r="A358" s="2894" t="str">
        <f>ORG!$S$1</f>
        <v>Jul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1568.9973166666666</v>
      </c>
      <c r="L358">
        <f>'B2 - Pay &amp; Agency'!H16</f>
        <v>1583.2831916666667</v>
      </c>
      <c r="M358">
        <f>'B2 - Pay &amp; Agency'!I16</f>
        <v>1585.2831916666667</v>
      </c>
      <c r="N358">
        <f>'B2 - Pay &amp; Agency'!J16</f>
        <v>1585.2831916666667</v>
      </c>
      <c r="O358">
        <f>'B2 - Pay &amp; Agency'!K16</f>
        <v>1585.2831916666667</v>
      </c>
      <c r="P358">
        <f>'B2 - Pay &amp; Agency'!L16</f>
        <v>1585.2831916666667</v>
      </c>
      <c r="Q358">
        <f>'B2 - Pay &amp; Agency'!M16</f>
        <v>1585.2831916666667</v>
      </c>
      <c r="R358">
        <f>'B2 - Pay &amp; Agency'!N16</f>
        <v>1602.2831916666667</v>
      </c>
      <c r="S358">
        <f>'B2 - Pay &amp; Agency'!P16</f>
        <v>19777.979658333334</v>
      </c>
      <c r="U358">
        <f t="shared" si="14"/>
        <v>19777.979658333334</v>
      </c>
    </row>
    <row r="359" spans="1:21">
      <c r="A359" s="2894" t="str">
        <f>ORG!$S$1</f>
        <v>Jul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1</v>
      </c>
      <c r="M359">
        <f>'B2 - Pay &amp; Agency'!I17</f>
        <v>1</v>
      </c>
      <c r="N359">
        <f>'B2 - Pay &amp; Agency'!J17</f>
        <v>1</v>
      </c>
      <c r="O359">
        <f>'B2 - Pay &amp; Agency'!K17</f>
        <v>1</v>
      </c>
      <c r="P359">
        <f>'B2 - Pay &amp; Agency'!L17</f>
        <v>1</v>
      </c>
      <c r="Q359">
        <f>'B2 - Pay &amp; Agency'!M17</f>
        <v>1</v>
      </c>
      <c r="R359">
        <f>'B2 - Pay &amp; Agency'!N17</f>
        <v>1</v>
      </c>
      <c r="S359">
        <f>'B2 - Pay &amp; Agency'!P17</f>
        <v>21</v>
      </c>
      <c r="U359">
        <f t="shared" si="14"/>
        <v>21</v>
      </c>
    </row>
    <row r="360" spans="1:21">
      <c r="A360" s="2894" t="str">
        <f>ORG!$S$1</f>
        <v>Jul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Jul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10913.532233333332</v>
      </c>
      <c r="L361">
        <f>'B2 - Pay &amp; Agency'!H19</f>
        <v>10993.259676666667</v>
      </c>
      <c r="M361">
        <f>'B2 - Pay &amp; Agency'!I19</f>
        <v>11098.102576666668</v>
      </c>
      <c r="N361">
        <f>'B2 - Pay &amp; Agency'!J19</f>
        <v>11108.102576666668</v>
      </c>
      <c r="O361">
        <f>'B2 - Pay &amp; Agency'!K19</f>
        <v>11113.102576666668</v>
      </c>
      <c r="P361">
        <f>'B2 - Pay &amp; Agency'!L19</f>
        <v>11108.102576666668</v>
      </c>
      <c r="Q361">
        <f>'B2 - Pay &amp; Agency'!M19</f>
        <v>11100.259676666667</v>
      </c>
      <c r="R361">
        <f>'B2 - Pay &amp; Agency'!N19</f>
        <v>11461.399441666668</v>
      </c>
      <c r="S361">
        <f>'B2 - Pay &amp; Agency'!P19</f>
        <v>135642.86133500002</v>
      </c>
      <c r="U361">
        <f t="shared" si="14"/>
        <v>135642.86133500002</v>
      </c>
    </row>
    <row r="362" spans="1:21">
      <c r="A362" s="2894" t="str">
        <f>ORG!$S$1</f>
        <v>Jul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10913.532233333333</v>
      </c>
      <c r="L362">
        <f>'B2 - Pay &amp; Agency'!H24</f>
        <v>10993.259676666667</v>
      </c>
      <c r="M362">
        <f>'B2 - Pay &amp; Agency'!I24</f>
        <v>11098.102576666666</v>
      </c>
      <c r="N362">
        <f>'B2 - Pay &amp; Agency'!J24</f>
        <v>11108.102576666666</v>
      </c>
      <c r="O362">
        <f>'B2 - Pay &amp; Agency'!K24</f>
        <v>11113.102576666666</v>
      </c>
      <c r="P362">
        <f>'B2 - Pay &amp; Agency'!L24</f>
        <v>11108.102576666666</v>
      </c>
      <c r="Q362">
        <f>'B2 - Pay &amp; Agency'!M24</f>
        <v>11100.259676666667</v>
      </c>
      <c r="R362">
        <f>'B2 - Pay &amp; Agency'!N24</f>
        <v>11461.399441666666</v>
      </c>
      <c r="S362">
        <f>'B2 - Pay &amp; Agency'!P24</f>
        <v>135642.86133500002</v>
      </c>
      <c r="U362">
        <f t="shared" si="14"/>
        <v>135642.86133500002</v>
      </c>
    </row>
    <row r="363" spans="1:21">
      <c r="A363" s="2894" t="str">
        <f>ORG!$S$1</f>
        <v>Jul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Jul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10913.532233333333</v>
      </c>
      <c r="L364">
        <f>'B2 - Pay &amp; Agency'!H26</f>
        <v>10993.259676666667</v>
      </c>
      <c r="M364">
        <f>'B2 - Pay &amp; Agency'!I26</f>
        <v>11098.102576666666</v>
      </c>
      <c r="N364">
        <f>'B2 - Pay &amp; Agency'!J26</f>
        <v>11108.102576666666</v>
      </c>
      <c r="O364">
        <f>'B2 - Pay &amp; Agency'!K26</f>
        <v>11113.102576666666</v>
      </c>
      <c r="P364">
        <f>'B2 - Pay &amp; Agency'!L26</f>
        <v>11108.102576666666</v>
      </c>
      <c r="Q364">
        <f>'B2 - Pay &amp; Agency'!M26</f>
        <v>11100.259676666667</v>
      </c>
      <c r="R364">
        <f>'B2 - Pay &amp; Agency'!N26</f>
        <v>11461.399441666666</v>
      </c>
      <c r="S364">
        <f>'B2 - Pay &amp; Agency'!P26</f>
        <v>135642.86133500002</v>
      </c>
      <c r="U364">
        <f t="shared" si="14"/>
        <v>135642.86133500002</v>
      </c>
    </row>
    <row r="365" spans="1:21">
      <c r="A365" s="2894" t="str">
        <f>ORG!$S$1</f>
        <v>Jul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152.5</v>
      </c>
      <c r="L365">
        <f>'B2 - Pay &amp; Agency'!H33</f>
        <v>152.5</v>
      </c>
      <c r="M365">
        <f>'B2 - Pay &amp; Agency'!I33</f>
        <v>152.5</v>
      </c>
      <c r="N365">
        <f>'B2 - Pay &amp; Agency'!J33</f>
        <v>152.5</v>
      </c>
      <c r="O365">
        <f>'B2 - Pay &amp; Agency'!K33</f>
        <v>152.5</v>
      </c>
      <c r="P365">
        <f>'B2 - Pay &amp; Agency'!L33</f>
        <v>152.5</v>
      </c>
      <c r="Q365">
        <f>'B2 - Pay &amp; Agency'!M33</f>
        <v>152.5</v>
      </c>
      <c r="R365">
        <f>'B2 - Pay &amp; Agency'!N33</f>
        <v>152.5</v>
      </c>
      <c r="S365">
        <f>'B2 - Pay &amp; Agency'!P33</f>
        <v>1830</v>
      </c>
      <c r="U365">
        <f t="shared" si="14"/>
        <v>1830</v>
      </c>
    </row>
    <row r="366" spans="1:21">
      <c r="A366" s="2894" t="str">
        <f>ORG!$S$1</f>
        <v>Jul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28</v>
      </c>
      <c r="M366">
        <f>'B2 - Pay &amp; Agency'!I34</f>
        <v>28</v>
      </c>
      <c r="N366">
        <f>'B2 - Pay &amp; Agency'!J34</f>
        <v>28</v>
      </c>
      <c r="O366">
        <f>'B2 - Pay &amp; Agency'!K34</f>
        <v>28</v>
      </c>
      <c r="P366">
        <f>'B2 - Pay &amp; Agency'!L34</f>
        <v>28</v>
      </c>
      <c r="Q366">
        <f>'B2 - Pay &amp; Agency'!M34</f>
        <v>28</v>
      </c>
      <c r="R366">
        <f>'B2 - Pay &amp; Agency'!N34</f>
        <v>28</v>
      </c>
      <c r="S366">
        <f>'B2 - Pay &amp; Agency'!P34</f>
        <v>336</v>
      </c>
      <c r="U366">
        <f t="shared" si="14"/>
        <v>336</v>
      </c>
    </row>
    <row r="367" spans="1:21">
      <c r="A367" s="2894" t="str">
        <f>ORG!$S$1</f>
        <v>Jul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0.75</v>
      </c>
      <c r="L367">
        <f>'B2 - Pay &amp; Agency'!H35</f>
        <v>0.75</v>
      </c>
      <c r="M367">
        <f>'B2 - Pay &amp; Agency'!I35</f>
        <v>0.75</v>
      </c>
      <c r="N367">
        <f>'B2 - Pay &amp; Agency'!J35</f>
        <v>0.75</v>
      </c>
      <c r="O367">
        <f>'B2 - Pay &amp; Agency'!K35</f>
        <v>0.75</v>
      </c>
      <c r="P367">
        <f>'B2 - Pay &amp; Agency'!L35</f>
        <v>0.75</v>
      </c>
      <c r="Q367">
        <f>'B2 - Pay &amp; Agency'!M35</f>
        <v>0.75</v>
      </c>
      <c r="R367">
        <f>'B2 - Pay &amp; Agency'!N35</f>
        <v>0.75</v>
      </c>
      <c r="S367">
        <f>'B2 - Pay &amp; Agency'!P35</f>
        <v>9</v>
      </c>
      <c r="U367">
        <f t="shared" si="14"/>
        <v>9</v>
      </c>
    </row>
    <row r="368" spans="1:21">
      <c r="A368" s="2894" t="str">
        <f>ORG!$S$1</f>
        <v>Jul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Jul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25.5</v>
      </c>
      <c r="L369">
        <f>'B2 - Pay &amp; Agency'!H37</f>
        <v>25.5</v>
      </c>
      <c r="M369">
        <f>'B2 - Pay &amp; Agency'!I37</f>
        <v>25.5</v>
      </c>
      <c r="N369">
        <f>'B2 - Pay &amp; Agency'!J37</f>
        <v>25.5</v>
      </c>
      <c r="O369">
        <f>'B2 - Pay &amp; Agency'!K37</f>
        <v>25.5</v>
      </c>
      <c r="P369">
        <f>'B2 - Pay &amp; Agency'!L37</f>
        <v>25.5</v>
      </c>
      <c r="Q369">
        <f>'B2 - Pay &amp; Agency'!M37</f>
        <v>25.5</v>
      </c>
      <c r="R369">
        <f>'B2 - Pay &amp; Agency'!N37</f>
        <v>25.5</v>
      </c>
      <c r="S369">
        <f>'B2 - Pay &amp; Agency'!P37</f>
        <v>306</v>
      </c>
      <c r="U369">
        <f t="shared" si="14"/>
        <v>306</v>
      </c>
    </row>
    <row r="370" spans="1:21">
      <c r="A370" s="2894" t="str">
        <f>ORG!$S$1</f>
        <v>Jul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v>
      </c>
      <c r="L370">
        <f>'B2 - Pay &amp; Agency'!H38</f>
        <v>-1</v>
      </c>
      <c r="M370">
        <f>'B2 - Pay &amp; Agency'!I38</f>
        <v>-1</v>
      </c>
      <c r="N370">
        <f>'B2 - Pay &amp; Agency'!J38</f>
        <v>-1</v>
      </c>
      <c r="O370">
        <f>'B2 - Pay &amp; Agency'!K38</f>
        <v>-1</v>
      </c>
      <c r="P370">
        <f>'B2 - Pay &amp; Agency'!L38</f>
        <v>-1</v>
      </c>
      <c r="Q370">
        <f>'B2 - Pay &amp; Agency'!M38</f>
        <v>-1</v>
      </c>
      <c r="R370">
        <f>'B2 - Pay &amp; Agency'!N38</f>
        <v>-1</v>
      </c>
      <c r="S370">
        <f>'B2 - Pay &amp; Agency'!P38</f>
        <v>-11</v>
      </c>
      <c r="U370">
        <f t="shared" si="14"/>
        <v>-11</v>
      </c>
    </row>
    <row r="371" spans="1:21">
      <c r="A371" s="2894" t="str">
        <f>ORG!$S$1</f>
        <v>Jul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82</v>
      </c>
      <c r="L371">
        <f>'B2 - Pay &amp; Agency'!H39</f>
        <v>82</v>
      </c>
      <c r="M371">
        <f>'B2 - Pay &amp; Agency'!I39</f>
        <v>82</v>
      </c>
      <c r="N371">
        <f>'B2 - Pay &amp; Agency'!J39</f>
        <v>82</v>
      </c>
      <c r="O371">
        <f>'B2 - Pay &amp; Agency'!K39</f>
        <v>82</v>
      </c>
      <c r="P371">
        <f>'B2 - Pay &amp; Agency'!L39</f>
        <v>82</v>
      </c>
      <c r="Q371">
        <f>'B2 - Pay &amp; Agency'!M39</f>
        <v>82</v>
      </c>
      <c r="R371">
        <f>'B2 - Pay &amp; Agency'!N39</f>
        <v>82</v>
      </c>
      <c r="S371">
        <f>'B2 - Pay &amp; Agency'!P39</f>
        <v>984</v>
      </c>
      <c r="U371">
        <f t="shared" si="14"/>
        <v>984</v>
      </c>
    </row>
    <row r="372" spans="1:21">
      <c r="A372" s="2894" t="str">
        <f>ORG!$S$1</f>
        <v>Jul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1.75</v>
      </c>
      <c r="L372">
        <f>'B2 - Pay &amp; Agency'!H40</f>
        <v>1.75</v>
      </c>
      <c r="M372">
        <f>'B2 - Pay &amp; Agency'!I40</f>
        <v>1.75</v>
      </c>
      <c r="N372">
        <f>'B2 - Pay &amp; Agency'!J40</f>
        <v>1.75</v>
      </c>
      <c r="O372">
        <f>'B2 - Pay &amp; Agency'!K40</f>
        <v>1.75</v>
      </c>
      <c r="P372">
        <f>'B2 - Pay &amp; Agency'!L40</f>
        <v>1.75</v>
      </c>
      <c r="Q372">
        <f>'B2 - Pay &amp; Agency'!M40</f>
        <v>1.75</v>
      </c>
      <c r="R372">
        <f>'B2 - Pay &amp; Agency'!N40</f>
        <v>1.75</v>
      </c>
      <c r="S372">
        <f>'B2 - Pay &amp; Agency'!P40</f>
        <v>21</v>
      </c>
      <c r="U372">
        <f t="shared" si="14"/>
        <v>21</v>
      </c>
    </row>
    <row r="373" spans="1:21">
      <c r="A373" s="2894" t="str">
        <f>ORG!$S$1</f>
        <v>Jul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Jul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289.5</v>
      </c>
      <c r="L374">
        <f>'B2 - Pay &amp; Agency'!H42</f>
        <v>289.5</v>
      </c>
      <c r="M374">
        <f>'B2 - Pay &amp; Agency'!I42</f>
        <v>289.5</v>
      </c>
      <c r="N374">
        <f>'B2 - Pay &amp; Agency'!J42</f>
        <v>289.5</v>
      </c>
      <c r="O374">
        <f>'B2 - Pay &amp; Agency'!K42</f>
        <v>289.5</v>
      </c>
      <c r="P374">
        <f>'B2 - Pay &amp; Agency'!L42</f>
        <v>289.5</v>
      </c>
      <c r="Q374">
        <f>'B2 - Pay &amp; Agency'!M42</f>
        <v>289.5</v>
      </c>
      <c r="R374">
        <f>'B2 - Pay &amp; Agency'!N42</f>
        <v>289.5</v>
      </c>
      <c r="S374">
        <f>'B2 - Pay &amp; Agency'!P42</f>
        <v>3475</v>
      </c>
      <c r="U374">
        <f t="shared" si="14"/>
        <v>3475</v>
      </c>
    </row>
    <row r="375" spans="1:21">
      <c r="A375" s="2894" t="str">
        <f>ORG!$S$1</f>
        <v>Jul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2.6526700412885271E-2</v>
      </c>
      <c r="L375">
        <f>IFERROR('B2 - Pay &amp; Agency'!H44,0)</f>
        <v>2.6334318347311255E-2</v>
      </c>
      <c r="M375">
        <f>IFERROR('B2 - Pay &amp; Agency'!I44,0)</f>
        <v>2.6085540118241705E-2</v>
      </c>
      <c r="N375">
        <f>IFERROR('B2 - Pay &amp; Agency'!J44,0)</f>
        <v>2.6062056773594675E-2</v>
      </c>
      <c r="O375">
        <f>IFERROR('B2 - Pay &amp; Agency'!K44,0)</f>
        <v>2.6050330949688255E-2</v>
      </c>
      <c r="P375">
        <f>IFERROR('B2 - Pay &amp; Agency'!L44,0)</f>
        <v>2.6062056773594675E-2</v>
      </c>
      <c r="Q375">
        <f>IFERROR('B2 - Pay &amp; Agency'!M44,0)</f>
        <v>2.6080470946868415E-2</v>
      </c>
      <c r="R375">
        <f>IFERROR('B2 - Pay &amp; Agency'!N44,0)</f>
        <v>2.5258695630793068E-2</v>
      </c>
      <c r="S375">
        <f>IFERROR('B2 - Pay &amp; Agency'!O44,0)</f>
        <v>2.4793034847155969E-2</v>
      </c>
      <c r="U375">
        <f t="shared" si="14"/>
        <v>2.4793034847155969E-2</v>
      </c>
    </row>
    <row r="376" spans="1:21">
      <c r="A376" s="2894" t="str">
        <f>ORG!$S$1</f>
        <v>Jul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282.75</v>
      </c>
      <c r="L376">
        <f>'B2 - Pay &amp; Agency'!H52</f>
        <v>282.75</v>
      </c>
      <c r="M376">
        <f>'B2 - Pay &amp; Agency'!I52</f>
        <v>282.75</v>
      </c>
      <c r="N376">
        <f>'B2 - Pay &amp; Agency'!J52</f>
        <v>282.75</v>
      </c>
      <c r="O376">
        <f>'B2 - Pay &amp; Agency'!K52</f>
        <v>282.75</v>
      </c>
      <c r="P376">
        <f>'B2 - Pay &amp; Agency'!L52</f>
        <v>282.75</v>
      </c>
      <c r="Q376">
        <f>'B2 - Pay &amp; Agency'!M52</f>
        <v>282.75</v>
      </c>
      <c r="R376">
        <f>'B2 - Pay &amp; Agency'!N52</f>
        <v>282.75</v>
      </c>
      <c r="S376">
        <f>'B2 - Pay &amp; Agency'!P52</f>
        <v>3393</v>
      </c>
      <c r="U376">
        <f t="shared" si="14"/>
        <v>3393</v>
      </c>
    </row>
    <row r="377" spans="1:21">
      <c r="A377" s="2894" t="str">
        <f>ORG!$S$1</f>
        <v>Jul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7</v>
      </c>
      <c r="L377">
        <f>'B2 - Pay &amp; Agency'!H53</f>
        <v>7</v>
      </c>
      <c r="M377">
        <f>'B2 - Pay &amp; Agency'!I53</f>
        <v>7</v>
      </c>
      <c r="N377">
        <f>'B2 - Pay &amp; Agency'!J53</f>
        <v>7</v>
      </c>
      <c r="O377">
        <f>'B2 - Pay &amp; Agency'!K53</f>
        <v>7</v>
      </c>
      <c r="P377">
        <f>'B2 - Pay &amp; Agency'!L53</f>
        <v>7</v>
      </c>
      <c r="Q377">
        <f>'B2 - Pay &amp; Agency'!M53</f>
        <v>7</v>
      </c>
      <c r="R377">
        <f>'B2 - Pay &amp; Agency'!N53</f>
        <v>7</v>
      </c>
      <c r="S377">
        <f>'B2 - Pay &amp; Agency'!P53</f>
        <v>84</v>
      </c>
      <c r="U377">
        <f t="shared" si="14"/>
        <v>84</v>
      </c>
    </row>
    <row r="378" spans="1:21">
      <c r="A378" s="2894" t="str">
        <f>ORG!$S$1</f>
        <v>Jul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Jul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Jul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Jul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Jul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Jul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Jul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Jul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Jul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Jul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Jul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Jul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289.75</v>
      </c>
      <c r="L389">
        <f>'B2 - Pay &amp; Agency'!H65</f>
        <v>289.75</v>
      </c>
      <c r="M389">
        <f>'B2 - Pay &amp; Agency'!I65</f>
        <v>289.75</v>
      </c>
      <c r="N389">
        <f>'B2 - Pay &amp; Agency'!J65</f>
        <v>289.75</v>
      </c>
      <c r="O389">
        <f>'B2 - Pay &amp; Agency'!K65</f>
        <v>289.75</v>
      </c>
      <c r="P389">
        <f>'B2 - Pay &amp; Agency'!L65</f>
        <v>289.75</v>
      </c>
      <c r="Q389">
        <f>'B2 - Pay &amp; Agency'!M65</f>
        <v>289.75</v>
      </c>
      <c r="R389">
        <f>'B2 - Pay &amp; Agency'!N65</f>
        <v>289.75</v>
      </c>
      <c r="S389">
        <f>'B2 - Pay &amp; Agency'!P65</f>
        <v>3477</v>
      </c>
      <c r="U389">
        <f t="shared" si="15"/>
        <v>3477</v>
      </c>
    </row>
    <row r="390" spans="1:21">
      <c r="A390" s="2894" t="str">
        <f>ORG!$S$1</f>
        <v>Jul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Jul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Jul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67.111583333333314</v>
      </c>
      <c r="L392">
        <f>'B3 - COVID-19'!H10</f>
        <v>86.553151666666679</v>
      </c>
      <c r="M392">
        <f>'B3 - COVID-19'!I10</f>
        <v>89.396051666666665</v>
      </c>
      <c r="N392">
        <f>'B3 - COVID-19'!J10</f>
        <v>89.396051666666665</v>
      </c>
      <c r="O392">
        <f>'B3 - COVID-19'!K10</f>
        <v>89.396051666666665</v>
      </c>
      <c r="P392">
        <f>'B3 - COVID-19'!L10</f>
        <v>89.396051666666665</v>
      </c>
      <c r="Q392">
        <f>'B3 - COVID-19'!M10</f>
        <v>86.553151666666679</v>
      </c>
      <c r="R392">
        <f>'B3 - COVID-19'!N10</f>
        <v>84.692916666666676</v>
      </c>
      <c r="S392">
        <f>'B3 - COVID-19'!P10</f>
        <v>783.48251000000005</v>
      </c>
      <c r="U392">
        <f t="shared" si="17"/>
        <v>783.48251000000005</v>
      </c>
    </row>
    <row r="393" spans="1:21">
      <c r="A393" s="2894" t="str">
        <f>ORG!$S$1</f>
        <v>Jul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Jul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Jul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Jul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2.62175</v>
      </c>
      <c r="L396">
        <f>'B3 - COVID-19'!H14</f>
        <v>2.62175</v>
      </c>
      <c r="M396">
        <f>'B3 - COVID-19'!I14</f>
        <v>2.62175</v>
      </c>
      <c r="N396">
        <f>'B3 - COVID-19'!J14</f>
        <v>2.62175</v>
      </c>
      <c r="O396">
        <f>'B3 - COVID-19'!K14</f>
        <v>2.62175</v>
      </c>
      <c r="P396">
        <f>'B3 - COVID-19'!L14</f>
        <v>2.62175</v>
      </c>
      <c r="Q396">
        <f>'B3 - COVID-19'!M14</f>
        <v>2.62175</v>
      </c>
      <c r="R396">
        <f>'B3 - COVID-19'!N14</f>
        <v>2.62175</v>
      </c>
      <c r="S396">
        <f>'B3 - COVID-19'!P14</f>
        <v>32.992459999999994</v>
      </c>
      <c r="U396">
        <f t="shared" si="17"/>
        <v>32.992459999999994</v>
      </c>
    </row>
    <row r="397" spans="1:21">
      <c r="A397" s="2894" t="str">
        <f>ORG!$S$1</f>
        <v>Jul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Jul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47.166899999999998</v>
      </c>
      <c r="L398">
        <f>'B3 - COVID-19'!H16</f>
        <v>61.45277500000001</v>
      </c>
      <c r="M398">
        <f>'B3 - COVID-19'!I16</f>
        <v>61.45277500000001</v>
      </c>
      <c r="N398">
        <f>'B3 - COVID-19'!J16</f>
        <v>61.45277500000001</v>
      </c>
      <c r="O398">
        <f>'B3 - COVID-19'!K16</f>
        <v>61.45277500000001</v>
      </c>
      <c r="P398">
        <f>'B3 - COVID-19'!L16</f>
        <v>61.45277500000001</v>
      </c>
      <c r="Q398">
        <f>'B3 - COVID-19'!M16</f>
        <v>61.45277500000001</v>
      </c>
      <c r="R398">
        <f>'B3 - COVID-19'!N16</f>
        <v>61.45277500000001</v>
      </c>
      <c r="S398">
        <f>'B3 - COVID-19'!P16</f>
        <v>599.97593500000005</v>
      </c>
      <c r="U398">
        <f t="shared" si="17"/>
        <v>599.97593500000005</v>
      </c>
    </row>
    <row r="399" spans="1:21">
      <c r="A399" s="2894" t="str">
        <f>ORG!$S$1</f>
        <v>Jul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Jul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Jul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116.90023333333332</v>
      </c>
      <c r="L401">
        <f>'B3 - COVID-19'!H19</f>
        <v>150.6276766666667</v>
      </c>
      <c r="M401">
        <f>'B3 - COVID-19'!I19</f>
        <v>153.47057666666669</v>
      </c>
      <c r="N401">
        <f>'B3 - COVID-19'!J19</f>
        <v>153.47057666666669</v>
      </c>
      <c r="O401">
        <f>'B3 - COVID-19'!K19</f>
        <v>153.47057666666669</v>
      </c>
      <c r="P401">
        <f>'B3 - COVID-19'!L19</f>
        <v>153.47057666666669</v>
      </c>
      <c r="Q401">
        <f>'B3 - COVID-19'!M19</f>
        <v>150.6276766666667</v>
      </c>
      <c r="R401">
        <f>'B3 - COVID-19'!N19</f>
        <v>148.76744166666668</v>
      </c>
      <c r="S401">
        <f>'B3 - COVID-19'!P19</f>
        <v>1416.4509050000001</v>
      </c>
      <c r="U401">
        <f t="shared" si="17"/>
        <v>1416.4509050000001</v>
      </c>
    </row>
    <row r="402" spans="1:21">
      <c r="A402" s="2894" t="str">
        <f>ORG!$S$1</f>
        <v>Jul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Jul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Jul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Jul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895.51103542841531</v>
      </c>
      <c r="L405">
        <f>'B3 - COVID-19'!H23</f>
        <v>895.69491670491811</v>
      </c>
      <c r="M405">
        <f>'B3 - COVID-19'!I23</f>
        <v>1120.1594939530055</v>
      </c>
      <c r="N405">
        <f>'B3 - COVID-19'!J23</f>
        <v>1128.402028180328</v>
      </c>
      <c r="O405">
        <f>'B3 - COVID-19'!K23</f>
        <v>1252.3469939530055</v>
      </c>
      <c r="P405">
        <f>'B3 - COVID-19'!L23</f>
        <v>1207.6594939530055</v>
      </c>
      <c r="Q405">
        <f>'B3 - COVID-19'!M23</f>
        <v>1121.6455624076502</v>
      </c>
      <c r="R405">
        <f>'B3 - COVID-19'!N23</f>
        <v>1191.3469939530055</v>
      </c>
      <c r="S405">
        <f>'B3 - COVID-19'!P23</f>
        <v>11921.286458533334</v>
      </c>
      <c r="U405">
        <f t="shared" si="17"/>
        <v>11921.286458533334</v>
      </c>
    </row>
    <row r="406" spans="1:21">
      <c r="A406" s="2894" t="str">
        <f>ORG!$S$1</f>
        <v>Jul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49.29</v>
      </c>
      <c r="L406">
        <f>'B3 - COVID-19'!H24</f>
        <v>164.05</v>
      </c>
      <c r="M406">
        <f>'B3 - COVID-19'!I24</f>
        <v>0</v>
      </c>
      <c r="N406">
        <f>'B3 - COVID-19'!J24</f>
        <v>0</v>
      </c>
      <c r="O406">
        <f>'B3 - COVID-19'!K24</f>
        <v>164.05</v>
      </c>
      <c r="P406">
        <f>'B3 - COVID-19'!L24</f>
        <v>0</v>
      </c>
      <c r="Q406">
        <f>'B3 - COVID-19'!M24</f>
        <v>0</v>
      </c>
      <c r="R406">
        <f>'B3 - COVID-19'!N24</f>
        <v>164.05</v>
      </c>
      <c r="S406">
        <f>'B3 - COVID-19'!P24</f>
        <v>571.34</v>
      </c>
      <c r="U406">
        <f t="shared" si="17"/>
        <v>571.34</v>
      </c>
    </row>
    <row r="407" spans="1:21">
      <c r="A407" s="2894" t="str">
        <f>ORG!$S$1</f>
        <v>Jul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50</v>
      </c>
      <c r="M407">
        <f>'B3 - COVID-19'!I25</f>
        <v>0</v>
      </c>
      <c r="N407">
        <f>'B3 - COVID-19'!J25</f>
        <v>0</v>
      </c>
      <c r="O407">
        <f>'B3 - COVID-19'!K25</f>
        <v>0</v>
      </c>
      <c r="P407">
        <f>'B3 - COVID-19'!L25</f>
        <v>0</v>
      </c>
      <c r="Q407">
        <f>'B3 - COVID-19'!M25</f>
        <v>0</v>
      </c>
      <c r="R407">
        <f>'B3 - COVID-19'!N25</f>
        <v>50</v>
      </c>
      <c r="S407">
        <f>'B3 - COVID-19'!P25</f>
        <v>100</v>
      </c>
      <c r="U407">
        <f t="shared" si="17"/>
        <v>100</v>
      </c>
    </row>
    <row r="408" spans="1:21">
      <c r="A408" s="2894" t="str">
        <f>ORG!$S$1</f>
        <v>Jul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Jul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Jul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Jul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Jul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Jul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Jul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Jul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944.80103542841528</v>
      </c>
      <c r="L415">
        <f>'B3 - COVID-19'!H33</f>
        <v>1109.7449167049181</v>
      </c>
      <c r="M415">
        <f>'B3 - COVID-19'!I33</f>
        <v>1120.1594939530055</v>
      </c>
      <c r="N415">
        <f>'B3 - COVID-19'!J33</f>
        <v>1128.402028180328</v>
      </c>
      <c r="O415">
        <f>'B3 - COVID-19'!K33</f>
        <v>1416.3969939530054</v>
      </c>
      <c r="P415">
        <f>'B3 - COVID-19'!L33</f>
        <v>1207.6594939530055</v>
      </c>
      <c r="Q415">
        <f>'B3 - COVID-19'!M33</f>
        <v>1121.6455624076502</v>
      </c>
      <c r="R415">
        <f>'B3 - COVID-19'!N33</f>
        <v>1405.3969939530054</v>
      </c>
      <c r="S415">
        <f>'B3 - COVID-19'!P33</f>
        <v>12592.626458533334</v>
      </c>
      <c r="U415">
        <f t="shared" si="17"/>
        <v>12592.626458533334</v>
      </c>
    </row>
    <row r="416" spans="1:21">
      <c r="A416" s="2894" t="str">
        <f>ORG!$S$1</f>
        <v>Jul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1061.7012687617487</v>
      </c>
      <c r="L416">
        <f>'B3 - COVID-19'!H34</f>
        <v>1260.3725933715848</v>
      </c>
      <c r="M416">
        <f>'B3 - COVID-19'!I34</f>
        <v>1273.6300706196721</v>
      </c>
      <c r="N416">
        <f>'B3 - COVID-19'!J34</f>
        <v>1281.8726048469946</v>
      </c>
      <c r="O416">
        <f>'B3 - COVID-19'!K34</f>
        <v>1569.8675706196721</v>
      </c>
      <c r="P416">
        <f>'B3 - COVID-19'!L34</f>
        <v>1361.1300706196721</v>
      </c>
      <c r="Q416">
        <f>'B3 - COVID-19'!M34</f>
        <v>1272.273239074317</v>
      </c>
      <c r="R416">
        <f>'B3 - COVID-19'!N34</f>
        <v>1554.1644356196721</v>
      </c>
      <c r="S416">
        <f>'B3 - COVID-19'!P34</f>
        <v>14009.077363533333</v>
      </c>
      <c r="U416">
        <f t="shared" si="17"/>
        <v>14009.077363533333</v>
      </c>
    </row>
    <row r="417" spans="1:21">
      <c r="A417" s="2894" t="str">
        <f>ORG!$S$1</f>
        <v>Jul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Jul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-45.984219359339022</v>
      </c>
      <c r="L418">
        <f>'B3 - COVID-19'!H37</f>
        <v>211.88757303934926</v>
      </c>
      <c r="M418">
        <f>'B3 - COVID-19'!I37</f>
        <v>-1.9093084823396111</v>
      </c>
      <c r="N418">
        <f>'B3 - COVID-19'!J37</f>
        <v>-4.9314138538773022</v>
      </c>
      <c r="O418">
        <f>'B3 - COVID-19'!K37</f>
        <v>231.41058318432692</v>
      </c>
      <c r="P418">
        <f>'B3 - COVID-19'!L37</f>
        <v>-51.409308482339611</v>
      </c>
      <c r="Q418">
        <f>'B3 - COVID-19'!M37</f>
        <v>-66.42857422541465</v>
      </c>
      <c r="R418">
        <f>'B3 - COVID-19'!N37</f>
        <v>170.52145040654909</v>
      </c>
      <c r="S418">
        <f>'B3 - COVID-19'!P37</f>
        <v>1430.9226341093363</v>
      </c>
      <c r="U418">
        <f t="shared" si="17"/>
        <v>1430.9226341093363</v>
      </c>
    </row>
    <row r="419" spans="1:21">
      <c r="A419" s="2894" t="str">
        <f>ORG!$S$1</f>
        <v>Jul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Jul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1061.7012687617487</v>
      </c>
      <c r="L420">
        <f>'B3 - COVID-19'!H42</f>
        <v>1260.3725933715848</v>
      </c>
      <c r="M420">
        <f>'B3 - COVID-19'!I42</f>
        <v>1273.6300706196721</v>
      </c>
      <c r="N420">
        <f>'B3 - COVID-19'!J42</f>
        <v>1281.8726048469946</v>
      </c>
      <c r="O420">
        <f>'B3 - COVID-19'!K42</f>
        <v>1569.8675706196721</v>
      </c>
      <c r="P420">
        <f>'B3 - COVID-19'!L42</f>
        <v>1361.1300706196721</v>
      </c>
      <c r="Q420">
        <f>'B3 - COVID-19'!M42</f>
        <v>1272.273239074317</v>
      </c>
      <c r="R420">
        <f>'B3 - COVID-19'!N42</f>
        <v>1554.1644356196721</v>
      </c>
      <c r="S420">
        <f>'B3 - COVID-19'!P42</f>
        <v>14009.077363533333</v>
      </c>
      <c r="U420">
        <f t="shared" si="18"/>
        <v>14009.077363533333</v>
      </c>
    </row>
    <row r="421" spans="1:21">
      <c r="A421" s="2894" t="str">
        <f>ORG!$S$1</f>
        <v>Jul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Jul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1061.7012687617487</v>
      </c>
      <c r="L422">
        <f>'B3 - COVID-19'!H44</f>
        <v>1260.3725933715848</v>
      </c>
      <c r="M422">
        <f>'B3 - COVID-19'!I44</f>
        <v>1273.6300706196721</v>
      </c>
      <c r="N422">
        <f>'B3 - COVID-19'!J44</f>
        <v>1281.8726048469946</v>
      </c>
      <c r="O422">
        <f>'B3 - COVID-19'!K44</f>
        <v>1569.8675706196721</v>
      </c>
      <c r="P422">
        <f>'B3 - COVID-19'!L44</f>
        <v>1361.1300706196721</v>
      </c>
      <c r="Q422">
        <f>'B3 - COVID-19'!M44</f>
        <v>1272.273239074317</v>
      </c>
      <c r="R422">
        <f>'B3 - COVID-19'!N44</f>
        <v>1554.1644356196721</v>
      </c>
      <c r="S422">
        <f>'B3 - COVID-19'!P44</f>
        <v>14009.077363533333</v>
      </c>
      <c r="U422">
        <f t="shared" si="18"/>
        <v>14009.077363533333</v>
      </c>
    </row>
    <row r="423" spans="1:21">
      <c r="A423" s="2894" t="str">
        <f>ORG!$S$1</f>
        <v>Jul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45.984219359339022</v>
      </c>
      <c r="L423">
        <f>'B3 - COVID-19'!H45</f>
        <v>-211.88757303934926</v>
      </c>
      <c r="M423">
        <f>'B3 - COVID-19'!I45</f>
        <v>1.9093084823396111</v>
      </c>
      <c r="N423">
        <f>'B3 - COVID-19'!J45</f>
        <v>4.9314138538773022</v>
      </c>
      <c r="O423">
        <f>'B3 - COVID-19'!K45</f>
        <v>-231.41058318432692</v>
      </c>
      <c r="P423">
        <f>'B3 - COVID-19'!L45</f>
        <v>51.409308482339611</v>
      </c>
      <c r="Q423">
        <f>'B3 - COVID-19'!M45</f>
        <v>66.42857422541465</v>
      </c>
      <c r="R423">
        <f>'B3 - COVID-19'!N45</f>
        <v>-170.52145040654909</v>
      </c>
      <c r="S423">
        <f>'B3 - COVID-19'!P45</f>
        <v>-1430.9224041093348</v>
      </c>
      <c r="U423">
        <f t="shared" si="18"/>
        <v>-1430.9224041093348</v>
      </c>
    </row>
    <row r="424" spans="1:21">
      <c r="A424" s="2894" t="str">
        <f>ORG!$S$1</f>
        <v>Jul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Jul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Jul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61.801583333333333</v>
      </c>
      <c r="L426">
        <f>'B3 - COVID-19'!H53</f>
        <v>61.801583333333333</v>
      </c>
      <c r="M426">
        <f>'B3 - COVID-19'!I53</f>
        <v>61.801583333333333</v>
      </c>
      <c r="N426">
        <f>'B3 - COVID-19'!J53</f>
        <v>61.801583333333333</v>
      </c>
      <c r="O426">
        <f>'B3 - COVID-19'!K53</f>
        <v>61.801583333333333</v>
      </c>
      <c r="P426">
        <f>'B3 - COVID-19'!L53</f>
        <v>61.801583333333333</v>
      </c>
      <c r="Q426">
        <f>'B3 - COVID-19'!M53</f>
        <v>61.801583333333333</v>
      </c>
      <c r="R426">
        <f>'B3 - COVID-19'!N53</f>
        <v>61.801583333333333</v>
      </c>
      <c r="S426">
        <f>'B3 - COVID-19'!P53</f>
        <v>691.50194666666675</v>
      </c>
      <c r="U426">
        <f t="shared" si="17"/>
        <v>691.50194666666675</v>
      </c>
    </row>
    <row r="427" spans="1:21">
      <c r="A427" s="2894" t="str">
        <f>ORG!$S$1</f>
        <v>Jul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Jul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0</v>
      </c>
      <c r="L428">
        <f>'B3 - COVID-19'!H55</f>
        <v>0</v>
      </c>
      <c r="M428">
        <f>'B3 - COVID-19'!I55</f>
        <v>0</v>
      </c>
      <c r="N428">
        <f>'B3 - COVID-19'!J55</f>
        <v>0</v>
      </c>
      <c r="O428">
        <f>'B3 - COVID-19'!K55</f>
        <v>0</v>
      </c>
      <c r="P428">
        <f>'B3 - COVID-19'!L55</f>
        <v>0</v>
      </c>
      <c r="Q428">
        <f>'B3 - COVID-19'!M55</f>
        <v>0</v>
      </c>
      <c r="R428">
        <f>'B3 - COVID-19'!N55</f>
        <v>0</v>
      </c>
      <c r="S428">
        <f>'B3 - COVID-19'!P55</f>
        <v>0</v>
      </c>
      <c r="U428">
        <f t="shared" si="19"/>
        <v>0</v>
      </c>
    </row>
    <row r="429" spans="1:21">
      <c r="A429" s="2894" t="str">
        <f>ORG!$S$1</f>
        <v>Jul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Jul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Jul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Jul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17.830416666666668</v>
      </c>
      <c r="L432">
        <f>'B3 - COVID-19'!H59</f>
        <v>17.830416666666668</v>
      </c>
      <c r="M432">
        <f>'B3 - COVID-19'!I59</f>
        <v>17.830416666666668</v>
      </c>
      <c r="N432">
        <f>'B3 - COVID-19'!J59</f>
        <v>17.830416666666668</v>
      </c>
      <c r="O432">
        <f>'B3 - COVID-19'!K59</f>
        <v>17.830416666666668</v>
      </c>
      <c r="P432">
        <f>'B3 - COVID-19'!L59</f>
        <v>17.830416666666668</v>
      </c>
      <c r="Q432">
        <f>'B3 - COVID-19'!M59</f>
        <v>17.830416666666668</v>
      </c>
      <c r="R432">
        <f>'B3 - COVID-19'!N59</f>
        <v>17.830416666666668</v>
      </c>
      <c r="S432">
        <f>'B3 - COVID-19'!P59</f>
        <v>220.4610133333334</v>
      </c>
      <c r="U432">
        <f t="shared" si="19"/>
        <v>220.4610133333334</v>
      </c>
    </row>
    <row r="433" spans="1:21">
      <c r="A433" s="2894" t="str">
        <f>ORG!$S$1</f>
        <v>Jul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Jul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Jul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79.632000000000005</v>
      </c>
      <c r="L435">
        <f>'B3 - COVID-19'!H62</f>
        <v>79.632000000000005</v>
      </c>
      <c r="M435">
        <f>'B3 - COVID-19'!I62</f>
        <v>79.632000000000005</v>
      </c>
      <c r="N435">
        <f>'B3 - COVID-19'!J62</f>
        <v>79.632000000000005</v>
      </c>
      <c r="O435">
        <f>'B3 - COVID-19'!K62</f>
        <v>79.632000000000005</v>
      </c>
      <c r="P435">
        <f>'B3 - COVID-19'!L62</f>
        <v>79.632000000000005</v>
      </c>
      <c r="Q435">
        <f>'B3 - COVID-19'!M62</f>
        <v>79.632000000000005</v>
      </c>
      <c r="R435">
        <f>'B3 - COVID-19'!N62</f>
        <v>79.632000000000005</v>
      </c>
      <c r="S435">
        <f>'B3 - COVID-19'!P62</f>
        <v>911.96296000000018</v>
      </c>
      <c r="U435">
        <f t="shared" si="19"/>
        <v>911.96296000000018</v>
      </c>
    </row>
    <row r="436" spans="1:21">
      <c r="A436" s="2894" t="str">
        <f>ORG!$S$1</f>
        <v>Jul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Jul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Jul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Jul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44.975999999999999</v>
      </c>
      <c r="L439">
        <f>'B3 - COVID-19'!H66</f>
        <v>104.976</v>
      </c>
      <c r="M439">
        <f>'B3 - COVID-19'!I66</f>
        <v>117.476</v>
      </c>
      <c r="N439">
        <f>'B3 - COVID-19'!J66</f>
        <v>57.475999999999999</v>
      </c>
      <c r="O439">
        <f>'B3 - COVID-19'!K66</f>
        <v>32.475999999999999</v>
      </c>
      <c r="P439">
        <f>'B3 - COVID-19'!L66</f>
        <v>32.475999999999999</v>
      </c>
      <c r="Q439">
        <f>'B3 - COVID-19'!M66</f>
        <v>33.337000000000003</v>
      </c>
      <c r="R439">
        <f>'B3 - COVID-19'!N66</f>
        <v>33.342059999999996</v>
      </c>
      <c r="S439">
        <f>'B3 - COVID-19'!P66</f>
        <v>578.03703999999993</v>
      </c>
      <c r="U439">
        <f t="shared" si="19"/>
        <v>578.03703999999993</v>
      </c>
    </row>
    <row r="440" spans="1:21">
      <c r="A440" s="2894" t="str">
        <f>ORG!$S$1</f>
        <v>Jul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Jul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Jul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Jul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Jul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Jul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Jul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Jul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Jul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Jul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44.975999999999999</v>
      </c>
      <c r="L449">
        <f>'B3 - COVID-19'!H76</f>
        <v>104.976</v>
      </c>
      <c r="M449">
        <f>'B3 - COVID-19'!I76</f>
        <v>117.476</v>
      </c>
      <c r="N449">
        <f>'B3 - COVID-19'!J76</f>
        <v>57.475999999999999</v>
      </c>
      <c r="O449">
        <f>'B3 - COVID-19'!K76</f>
        <v>32.475999999999999</v>
      </c>
      <c r="P449">
        <f>'B3 - COVID-19'!L76</f>
        <v>32.475999999999999</v>
      </c>
      <c r="Q449">
        <f>'B3 - COVID-19'!M76</f>
        <v>33.337000000000003</v>
      </c>
      <c r="R449">
        <f>'B3 - COVID-19'!N76</f>
        <v>33.342059999999996</v>
      </c>
      <c r="S449">
        <f>'B3 - COVID-19'!P76</f>
        <v>578.03703999999993</v>
      </c>
      <c r="U449">
        <f t="shared" si="19"/>
        <v>578.03703999999993</v>
      </c>
    </row>
    <row r="450" spans="1:21">
      <c r="A450" s="2894" t="str">
        <f>ORG!$S$1</f>
        <v>Jul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124.608</v>
      </c>
      <c r="L450">
        <f>'B3 - COVID-19'!H77</f>
        <v>184.608</v>
      </c>
      <c r="M450">
        <f>'B3 - COVID-19'!I77</f>
        <v>197.108</v>
      </c>
      <c r="N450">
        <f>'B3 - COVID-19'!J77</f>
        <v>137.108</v>
      </c>
      <c r="O450">
        <f>'B3 - COVID-19'!K77</f>
        <v>112.108</v>
      </c>
      <c r="P450">
        <f>'B3 - COVID-19'!L77</f>
        <v>112.108</v>
      </c>
      <c r="Q450">
        <f>'B3 - COVID-19'!M77</f>
        <v>112.96900000000001</v>
      </c>
      <c r="R450">
        <f>'B3 - COVID-19'!N77</f>
        <v>112.97406000000001</v>
      </c>
      <c r="S450">
        <f>'B3 - COVID-19'!P77</f>
        <v>1490</v>
      </c>
      <c r="U450">
        <f t="shared" si="19"/>
        <v>1490</v>
      </c>
    </row>
    <row r="451" spans="1:21">
      <c r="A451" s="2894" t="str">
        <f>ORG!$S$1</f>
        <v>Jul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Jul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-5.0808151515151678</v>
      </c>
      <c r="L452">
        <f>'B3 - COVID-19'!H80</f>
        <v>-5.0808151515151678</v>
      </c>
      <c r="M452">
        <f>'B3 - COVID-19'!I80</f>
        <v>-30.080815151515168</v>
      </c>
      <c r="N452">
        <f>'B3 - COVID-19'!J80</f>
        <v>-30.080815151515168</v>
      </c>
      <c r="O452">
        <f>'B3 - COVID-19'!K80</f>
        <v>-5.0808151515151678</v>
      </c>
      <c r="P452">
        <f>'B3 - COVID-19'!L80</f>
        <v>-5.0808151515151678</v>
      </c>
      <c r="Q452">
        <f>'B3 - COVID-19'!M80</f>
        <v>45.909289848484846</v>
      </c>
      <c r="R452">
        <f>'B3 - COVID-19'!N80</f>
        <v>45.904229848484846</v>
      </c>
      <c r="S452">
        <f>'B3 - COVID-19'!P80</f>
        <v>3.3333333249174757E-6</v>
      </c>
      <c r="U452">
        <f t="shared" si="19"/>
        <v>3.3333333249174757E-6</v>
      </c>
    </row>
    <row r="453" spans="1:21">
      <c r="A453" s="2894" t="str">
        <f>ORG!$S$1</f>
        <v>Jul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Jul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124.608</v>
      </c>
      <c r="L454">
        <f>'B3 - COVID-19'!H85</f>
        <v>184.608</v>
      </c>
      <c r="M454">
        <f>'B3 - COVID-19'!I85</f>
        <v>197.108</v>
      </c>
      <c r="N454">
        <f>'B3 - COVID-19'!J85</f>
        <v>137.108</v>
      </c>
      <c r="O454">
        <f>'B3 - COVID-19'!K85</f>
        <v>112.108</v>
      </c>
      <c r="P454">
        <f>'B3 - COVID-19'!L85</f>
        <v>112.108</v>
      </c>
      <c r="Q454">
        <f>'B3 - COVID-19'!M85</f>
        <v>112.96900000000001</v>
      </c>
      <c r="R454">
        <f>'B3 - COVID-19'!N85</f>
        <v>112.97406000000001</v>
      </c>
      <c r="S454">
        <f>'B3 - COVID-19'!P85</f>
        <v>1490.0000399999999</v>
      </c>
      <c r="U454">
        <f t="shared" si="20"/>
        <v>1490.0000399999999</v>
      </c>
    </row>
    <row r="455" spans="1:21">
      <c r="A455" s="2894" t="str">
        <f>ORG!$S$1</f>
        <v>Jul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Jul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124.608</v>
      </c>
      <c r="L456">
        <f>'B3 - COVID-19'!H87</f>
        <v>184.608</v>
      </c>
      <c r="M456">
        <f>'B3 - COVID-19'!I87</f>
        <v>197.108</v>
      </c>
      <c r="N456">
        <f>'B3 - COVID-19'!J87</f>
        <v>137.108</v>
      </c>
      <c r="O456">
        <f>'B3 - COVID-19'!K87</f>
        <v>112.108</v>
      </c>
      <c r="P456">
        <f>'B3 - COVID-19'!L87</f>
        <v>112.108</v>
      </c>
      <c r="Q456">
        <f>'B3 - COVID-19'!M87</f>
        <v>112.96900000000001</v>
      </c>
      <c r="R456">
        <f>'B3 - COVID-19'!N87</f>
        <v>112.97406000000001</v>
      </c>
      <c r="S456">
        <f>'B3 - COVID-19'!P87</f>
        <v>1490.0000399999999</v>
      </c>
      <c r="U456">
        <f t="shared" si="20"/>
        <v>1490.0000399999999</v>
      </c>
    </row>
    <row r="457" spans="1:21">
      <c r="A457" s="2894" t="str">
        <f>ORG!$S$1</f>
        <v>Jul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5.0808151515151678</v>
      </c>
      <c r="L457">
        <f>'B3 - COVID-19'!H88</f>
        <v>5.0808151515151678</v>
      </c>
      <c r="M457">
        <f>'B3 - COVID-19'!I88</f>
        <v>30.080815151515168</v>
      </c>
      <c r="N457">
        <f>'B3 - COVID-19'!J88</f>
        <v>30.080815151515168</v>
      </c>
      <c r="O457">
        <f>'B3 - COVID-19'!K88</f>
        <v>5.0808151515151678</v>
      </c>
      <c r="P457">
        <f>'B3 - COVID-19'!L88</f>
        <v>5.0808151515151678</v>
      </c>
      <c r="Q457">
        <f>'B3 - COVID-19'!M88</f>
        <v>-45.909289848484846</v>
      </c>
      <c r="R457">
        <f>'B3 - COVID-19'!N88</f>
        <v>-45.904229848484846</v>
      </c>
      <c r="S457">
        <f>'B3 - COVID-19'!P88</f>
        <v>-3.3333333249174757E-6</v>
      </c>
      <c r="U457">
        <f t="shared" si="20"/>
        <v>-3.3333333249174757E-6</v>
      </c>
    </row>
    <row r="458" spans="1:21">
      <c r="A458" s="2894" t="str">
        <f>ORG!$S$1</f>
        <v>Jul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Jul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Jul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Jul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Jul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Jul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Jul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Jul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Jul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Jul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Jul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Jul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Jul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Jul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Jul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Jul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Jul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Jul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Jul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Jul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Jul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Jul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Jul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Jul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Jul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Jul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Jul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Jul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Jul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Jul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Jul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Jul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Jul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Jul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Jul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Jul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Jul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Jul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Jul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Jul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Jul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Jul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Jul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Jul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Jul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Jul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Jul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1186.3092687617486</v>
      </c>
      <c r="L504">
        <f>'B3 - COVID-19'!H148</f>
        <v>1444.9805933715847</v>
      </c>
      <c r="M504">
        <f>'B3 - COVID-19'!I148</f>
        <v>1470.738070619672</v>
      </c>
      <c r="N504">
        <f>'B3 - COVID-19'!J148</f>
        <v>1418.9806048469945</v>
      </c>
      <c r="O504">
        <f>'B3 - COVID-19'!K148</f>
        <v>1681.975570619672</v>
      </c>
      <c r="P504">
        <f>'B3 - COVID-19'!L148</f>
        <v>1473.238070619672</v>
      </c>
      <c r="Q504">
        <f>'B3 - COVID-19'!M148</f>
        <v>1385.242239074317</v>
      </c>
      <c r="R504">
        <f>'B3 - COVID-19'!N148</f>
        <v>1667.1384956196721</v>
      </c>
      <c r="S504">
        <f>'B3 - COVID-19'!P148</f>
        <v>15499.077363533335</v>
      </c>
      <c r="U504">
        <f t="shared" si="24"/>
        <v>15499.077363533335</v>
      </c>
    </row>
    <row r="505" spans="1:21">
      <c r="A505" s="2894" t="str">
        <f>ORG!$S$1</f>
        <v>Jul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-51.065034510854048</v>
      </c>
      <c r="L505">
        <f>'B3 - COVID-19'!H149</f>
        <v>206.80675788783424</v>
      </c>
      <c r="M505">
        <f>'B3 - COVID-19'!I149</f>
        <v>-31.990123633854637</v>
      </c>
      <c r="N505">
        <f>'B3 - COVID-19'!J149</f>
        <v>-35.012229005392328</v>
      </c>
      <c r="O505">
        <f>'B3 - COVID-19'!K149</f>
        <v>226.3297680328119</v>
      </c>
      <c r="P505">
        <f>'B3 - COVID-19'!L149</f>
        <v>-56.490123633854637</v>
      </c>
      <c r="Q505">
        <f>'B3 - COVID-19'!M149</f>
        <v>-20.519284376929818</v>
      </c>
      <c r="R505">
        <f>'B3 - COVID-19'!N149</f>
        <v>216.42568025503397</v>
      </c>
      <c r="S505">
        <f>'B3 - COVID-19'!P149</f>
        <v>1430.9226374426692</v>
      </c>
      <c r="U505">
        <f t="shared" si="24"/>
        <v>1430.9226374426692</v>
      </c>
    </row>
    <row r="506" spans="1:21">
      <c r="A506" s="2894" t="str">
        <f>ORG!$S$1</f>
        <v>Jul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Jul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1186.3092687617486</v>
      </c>
      <c r="L507">
        <f>'B3 - COVID-19'!H152</f>
        <v>1444.9805933715847</v>
      </c>
      <c r="M507">
        <f>'B3 - COVID-19'!I152</f>
        <v>1470.738070619672</v>
      </c>
      <c r="N507">
        <f>'B3 - COVID-19'!J152</f>
        <v>1418.9806048469945</v>
      </c>
      <c r="O507">
        <f>'B3 - COVID-19'!K152</f>
        <v>1681.975570619672</v>
      </c>
      <c r="P507">
        <f>'B3 - COVID-19'!L152</f>
        <v>1473.238070619672</v>
      </c>
      <c r="Q507">
        <f>'B3 - COVID-19'!M152</f>
        <v>1385.242239074317</v>
      </c>
      <c r="R507">
        <f>'B3 - COVID-19'!N152</f>
        <v>1667.1384956196721</v>
      </c>
      <c r="S507">
        <f>'B3 - COVID-19'!P152</f>
        <v>15499.077403533334</v>
      </c>
      <c r="U507">
        <f t="shared" si="24"/>
        <v>15499.077403533334</v>
      </c>
    </row>
    <row r="508" spans="1:21">
      <c r="A508" s="2894" t="str">
        <f>ORG!$S$1</f>
        <v>Jul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Jul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1186.3092687617486</v>
      </c>
      <c r="L509">
        <f>'B3 - COVID-19'!H154</f>
        <v>1444.9805933715847</v>
      </c>
      <c r="M509">
        <f>'B3 - COVID-19'!I154</f>
        <v>1470.738070619672</v>
      </c>
      <c r="N509">
        <f>'B3 - COVID-19'!J154</f>
        <v>1418.9806048469945</v>
      </c>
      <c r="O509">
        <f>'B3 - COVID-19'!K154</f>
        <v>1681.975570619672</v>
      </c>
      <c r="P509">
        <f>'B3 - COVID-19'!L154</f>
        <v>1473.238070619672</v>
      </c>
      <c r="Q509">
        <f>'B3 - COVID-19'!M154</f>
        <v>1385.242239074317</v>
      </c>
      <c r="R509">
        <f>'B3 - COVID-19'!N154</f>
        <v>1667.1384956196721</v>
      </c>
      <c r="S509">
        <f>'B3 - COVID-19'!P154</f>
        <v>15499.077403533334</v>
      </c>
      <c r="U509">
        <f t="shared" si="24"/>
        <v>15499.077403533334</v>
      </c>
    </row>
    <row r="510" spans="1:21">
      <c r="A510" s="2894" t="str">
        <f>ORG!$S$1</f>
        <v>Jul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51.065034510854048</v>
      </c>
      <c r="L510">
        <f>'B3 - COVID-19'!H155</f>
        <v>-206.80675788783424</v>
      </c>
      <c r="M510">
        <f>'B3 - COVID-19'!I155</f>
        <v>31.990123633854637</v>
      </c>
      <c r="N510">
        <f>'B3 - COVID-19'!J155</f>
        <v>35.012229005392328</v>
      </c>
      <c r="O510">
        <f>'B3 - COVID-19'!K155</f>
        <v>-226.3297680328119</v>
      </c>
      <c r="P510">
        <f>'B3 - COVID-19'!L155</f>
        <v>56.490123633854637</v>
      </c>
      <c r="Q510">
        <f>'B3 - COVID-19'!M155</f>
        <v>20.519284376929818</v>
      </c>
      <c r="R510">
        <f>'B3 - COVID-19'!N155</f>
        <v>-216.42568025503397</v>
      </c>
      <c r="S510">
        <f>'B3 - COVID-19'!P155</f>
        <v>-1430.9224074426675</v>
      </c>
      <c r="U510">
        <f t="shared" si="24"/>
        <v>-1430.9224074426675</v>
      </c>
    </row>
    <row r="511" spans="1:21">
      <c r="A511" s="2894" t="str">
        <f>ORG!$S$1</f>
        <v>Jul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Jul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Jul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Jul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Jul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Jul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43.62764</v>
      </c>
      <c r="L516">
        <f>'B3 - COVID-19'!X23</f>
        <v>43.62764</v>
      </c>
      <c r="M516">
        <f>'B3 - COVID-19'!Y23</f>
        <v>43.62764</v>
      </c>
      <c r="N516">
        <f>'B3 - COVID-19'!Z23</f>
        <v>43.62764</v>
      </c>
      <c r="O516">
        <f>'B3 - COVID-19'!AA23</f>
        <v>43.62764</v>
      </c>
      <c r="P516">
        <f>'B3 - COVID-19'!AB23</f>
        <v>43.62764</v>
      </c>
      <c r="Q516">
        <f>'B3 - COVID-19'!AC23</f>
        <v>43.62764</v>
      </c>
      <c r="R516">
        <f>'B3 - COVID-19'!AD23</f>
        <v>43.62764</v>
      </c>
      <c r="S516">
        <f>'B3 - COVID-19'!AF23</f>
        <v>523.53165999999987</v>
      </c>
      <c r="U516">
        <f t="shared" si="23"/>
        <v>523.53165999999987</v>
      </c>
    </row>
    <row r="517" spans="1:21">
      <c r="A517" s="2894" t="str">
        <f>ORG!$S$1</f>
        <v>Jul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706.86973999999998</v>
      </c>
      <c r="J517">
        <f>'B3 - COVID-19'!V24</f>
        <v>537.04047000000003</v>
      </c>
      <c r="K517">
        <f>'B3 - COVID-19'!W24</f>
        <v>569.81143162841522</v>
      </c>
      <c r="L517">
        <f>'B3 - COVID-19'!X24</f>
        <v>551.43041770491811</v>
      </c>
      <c r="M517">
        <f>'B3 - COVID-19'!Y24</f>
        <v>782.2788301530054</v>
      </c>
      <c r="N517">
        <f>'B3 - COVID-19'!Z24</f>
        <v>757.04402918032781</v>
      </c>
      <c r="O517">
        <f>'B3 - COVID-19'!AA24</f>
        <v>782.2788301530054</v>
      </c>
      <c r="P517">
        <f>'B3 - COVID-19'!AB24</f>
        <v>782.2788301530054</v>
      </c>
      <c r="Q517">
        <f>'B3 - COVID-19'!AC24</f>
        <v>731.80922820765022</v>
      </c>
      <c r="R517">
        <f>'B3 - COVID-19'!AD24</f>
        <v>782.2788301530054</v>
      </c>
      <c r="S517">
        <f>'B3 - COVID-19'!AF24</f>
        <v>8298.3165173333327</v>
      </c>
      <c r="U517">
        <f t="shared" si="23"/>
        <v>8298.3165173333327</v>
      </c>
    </row>
    <row r="518" spans="1:21">
      <c r="A518" s="2894" t="str">
        <f>ORG!$S$1</f>
        <v>Jul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20.056415000000001</v>
      </c>
      <c r="L518">
        <f>'B3 - COVID-19'!X25</f>
        <v>20.056415000000001</v>
      </c>
      <c r="M518">
        <f>'B3 - COVID-19'!Y25</f>
        <v>20.056415000000001</v>
      </c>
      <c r="N518">
        <f>'B3 - COVID-19'!Z25</f>
        <v>20.056415000000001</v>
      </c>
      <c r="O518">
        <f>'B3 - COVID-19'!AA25</f>
        <v>20.056415000000001</v>
      </c>
      <c r="P518">
        <f>'B3 - COVID-19'!AB25</f>
        <v>20.056415000000001</v>
      </c>
      <c r="Q518">
        <f>'B3 - COVID-19'!AC25</f>
        <v>20.056415000000001</v>
      </c>
      <c r="R518">
        <f>'B3 - COVID-19'!AD25</f>
        <v>20.056415000000001</v>
      </c>
      <c r="S518">
        <f>'B3 - COVID-19'!AF25</f>
        <v>240.67698000000007</v>
      </c>
      <c r="U518">
        <f t="shared" si="23"/>
        <v>240.67698000000007</v>
      </c>
    </row>
    <row r="519" spans="1:21">
      <c r="A519" s="2894" t="str">
        <f>ORG!$S$1</f>
        <v>Jul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8.5999999999999993E-2</v>
      </c>
      <c r="L519">
        <f>'B3 - COVID-19'!X26</f>
        <v>8.3000000000000004E-2</v>
      </c>
      <c r="M519">
        <f>'B3 - COVID-19'!Y26</f>
        <v>0.11799999999999999</v>
      </c>
      <c r="N519">
        <f>'B3 - COVID-19'!Z26</f>
        <v>0.114</v>
      </c>
      <c r="O519">
        <f>'B3 - COVID-19'!AA26</f>
        <v>0.11799999999999999</v>
      </c>
      <c r="P519">
        <f>'B3 - COVID-19'!AB26</f>
        <v>0.11799999999999999</v>
      </c>
      <c r="Q519">
        <f>'B3 - COVID-19'!AC26</f>
        <v>0.111</v>
      </c>
      <c r="R519">
        <f>'B3 - COVID-19'!AD26</f>
        <v>0.11799999999999999</v>
      </c>
      <c r="S519">
        <f>'B3 - COVID-19'!AF26</f>
        <v>7.001780000000001</v>
      </c>
      <c r="U519">
        <f t="shared" si="23"/>
        <v>7.001780000000001</v>
      </c>
    </row>
    <row r="520" spans="1:21">
      <c r="A520" s="2894" t="str">
        <f>ORG!$S$1</f>
        <v>Jul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233.07860880000001</v>
      </c>
      <c r="L520">
        <f>'B3 - COVID-19'!X27</f>
        <v>225.55994400000003</v>
      </c>
      <c r="M520">
        <f>'B3 - COVID-19'!Y27</f>
        <v>233.07860880000001</v>
      </c>
      <c r="N520">
        <f>'B3 - COVID-19'!Z27</f>
        <v>225.55994400000003</v>
      </c>
      <c r="O520">
        <f>'B3 - COVID-19'!AA27</f>
        <v>279.57860880000004</v>
      </c>
      <c r="P520">
        <f>'B3 - COVID-19'!AB27</f>
        <v>279.57860880000004</v>
      </c>
      <c r="Q520">
        <f>'B3 - COVID-19'!AC27</f>
        <v>264.54127919999996</v>
      </c>
      <c r="R520">
        <f>'B3 - COVID-19'!AD27</f>
        <v>280.07860880000004</v>
      </c>
      <c r="S520">
        <f>'B3 - COVID-19'!AF27</f>
        <v>2204.8904511999999</v>
      </c>
      <c r="U520">
        <f t="shared" si="23"/>
        <v>2204.8904511999999</v>
      </c>
    </row>
    <row r="521" spans="1:21">
      <c r="A521" s="2894" t="str">
        <f>ORG!$S$1</f>
        <v>Jul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10.25</v>
      </c>
      <c r="L521">
        <f>'B3 - COVID-19'!X28</f>
        <v>30.75</v>
      </c>
      <c r="M521">
        <f>'B3 - COVID-19'!Y28</f>
        <v>41</v>
      </c>
      <c r="N521">
        <f>'B3 - COVID-19'!Z28</f>
        <v>82</v>
      </c>
      <c r="O521">
        <f>'B3 - COVID-19'!AA28</f>
        <v>102.5</v>
      </c>
      <c r="P521">
        <f>'B3 - COVID-19'!AB28</f>
        <v>82</v>
      </c>
      <c r="Q521">
        <f>'B3 - COVID-19'!AC28</f>
        <v>61.5</v>
      </c>
      <c r="R521">
        <f>'B3 - COVID-19'!AD28</f>
        <v>41</v>
      </c>
      <c r="S521">
        <f>'B3 - COVID-19'!AF28</f>
        <v>551.28483000000006</v>
      </c>
      <c r="U521">
        <f t="shared" si="23"/>
        <v>551.28483000000006</v>
      </c>
    </row>
    <row r="522" spans="1:21">
      <c r="A522" s="2894" t="str">
        <f>ORG!$S$1</f>
        <v>Jul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18.600940000000001</v>
      </c>
      <c r="L522">
        <f>'B3 - COVID-19'!X29</f>
        <v>24.1875</v>
      </c>
      <c r="M522">
        <f>'B3 - COVID-19'!Y29</f>
        <v>0</v>
      </c>
      <c r="N522">
        <f>'B3 - COVID-19'!Z29</f>
        <v>0</v>
      </c>
      <c r="O522">
        <f>'B3 - COVID-19'!AA29</f>
        <v>24.1875</v>
      </c>
      <c r="P522">
        <f>'B3 - COVID-19'!AB29</f>
        <v>0</v>
      </c>
      <c r="Q522">
        <f>'B3 - COVID-19'!AC29</f>
        <v>0</v>
      </c>
      <c r="R522">
        <f>'B3 - COVID-19'!AD29</f>
        <v>24.1875</v>
      </c>
      <c r="S522">
        <f>'B3 - COVID-19'!AF29</f>
        <v>95.584239999999994</v>
      </c>
      <c r="U522">
        <f t="shared" si="23"/>
        <v>95.584239999999994</v>
      </c>
    </row>
    <row r="523" spans="1:21">
      <c r="A523" s="2894" t="str">
        <f>ORG!$S$1</f>
        <v>Jul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0</v>
      </c>
      <c r="S523">
        <f>'B3 - COVID-19'!AF30</f>
        <v>0</v>
      </c>
      <c r="U523">
        <f t="shared" si="23"/>
        <v>0</v>
      </c>
    </row>
    <row r="524" spans="1:21">
      <c r="A524" s="2894" t="str">
        <f>ORG!$S$1</f>
        <v>Jul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0</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0</v>
      </c>
      <c r="U524">
        <f t="shared" si="23"/>
        <v>0</v>
      </c>
    </row>
    <row r="525" spans="1:21">
      <c r="A525" s="2894" t="str">
        <f>ORG!$S$1</f>
        <v>Jul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4" t="str">
        <f>ORG!$S$1</f>
        <v>Jul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Jul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895.51103542841531</v>
      </c>
      <c r="L527">
        <f>'B3 - COVID-19'!X34</f>
        <v>895.69491670491811</v>
      </c>
      <c r="M527">
        <f>'B3 - COVID-19'!Y34</f>
        <v>1120.1594939530055</v>
      </c>
      <c r="N527">
        <f>'B3 - COVID-19'!Z34</f>
        <v>1128.402028180328</v>
      </c>
      <c r="O527">
        <f>'B3 - COVID-19'!AA34</f>
        <v>1252.3469939530055</v>
      </c>
      <c r="P527">
        <f>'B3 - COVID-19'!AB34</f>
        <v>1207.6594939530055</v>
      </c>
      <c r="Q527">
        <f>'B3 - COVID-19'!AC34</f>
        <v>1121.6455624076502</v>
      </c>
      <c r="R527">
        <f>'B3 - COVID-19'!AD34</f>
        <v>1191.3469939530055</v>
      </c>
      <c r="S527">
        <f>'B3 - COVID-19'!AF34</f>
        <v>11921.286458533334</v>
      </c>
      <c r="U527">
        <f t="shared" si="23"/>
        <v>11921.286458533334</v>
      </c>
    </row>
    <row r="528" spans="1:21">
      <c r="A528" s="2894" t="str">
        <f>ORG!$S$1</f>
        <v>Jul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Jul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Jul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Jul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Jul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Jul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Jul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Jul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Jul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Jul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Jul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Jul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Jul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Jul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Jul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Jul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Jul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Jul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Jul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Jul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Jul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Jul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Jul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Jul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Jul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Jul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Jul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Jul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Jul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Jul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Jul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Jul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Jul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Jul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Jul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Jul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Jul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Jul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Jul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Jul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Jul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Jul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Jul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Jul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Jul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Jul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Jul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Jul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Jul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Jul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Jul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Jul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Jul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Jul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Jul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Jul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Jul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Jul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Jul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Jul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Jul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Jul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Jul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Jul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Jul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Jul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Jul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Jul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Jul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Jul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Jul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Jul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Jul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Jul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Jul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Jul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Jul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Jul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Jul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1770.6666666666667</v>
      </c>
      <c r="U606">
        <f t="shared" si="29"/>
        <v>1770.6666666666667</v>
      </c>
    </row>
    <row r="607" spans="1:21">
      <c r="A607" s="2894" t="str">
        <f>ORG!$S$1</f>
        <v>Jul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1770.6666666666667</v>
      </c>
      <c r="U607">
        <f t="shared" si="29"/>
        <v>1770.6666666666667</v>
      </c>
    </row>
    <row r="608" spans="1:21">
      <c r="A608" s="2894" t="str">
        <f>ORG!$S$1</f>
        <v>Jul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Jul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Jul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Jul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Jul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1770.6666666666667</v>
      </c>
      <c r="U612">
        <f t="shared" si="29"/>
        <v>1770.6666666666667</v>
      </c>
    </row>
    <row r="613" spans="1:21">
      <c r="A613" s="2894" t="str">
        <f>ORG!$S$1</f>
        <v>Jul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1770.6666666666667</v>
      </c>
      <c r="U613">
        <f t="shared" si="29"/>
        <v>1770.6666666666667</v>
      </c>
    </row>
    <row r="614" spans="1:21">
      <c r="A614" s="2894" t="str">
        <f>ORG!$S$1</f>
        <v>Jul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Jul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Jul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Jul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Jul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Jul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Jul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Jul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Jul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Jul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Jul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Jul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Jul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Jul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Jul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Jul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Jul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Jul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32575</v>
      </c>
      <c r="U631">
        <f t="shared" si="29"/>
        <v>32575</v>
      </c>
    </row>
    <row r="632" spans="1:21">
      <c r="A632" s="2894" t="str">
        <f>ORG!$S$1</f>
        <v>Jul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Jul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Jul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Jul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Jul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Jul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Jul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Jul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Jul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Jul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Jul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Jul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Jul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4" t="str">
        <f>ORG!$S$1</f>
        <v>Jul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Jul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Jul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Jul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40923</v>
      </c>
      <c r="U648">
        <f t="shared" si="29"/>
        <v>40923</v>
      </c>
    </row>
    <row r="649" spans="1:21">
      <c r="A649" s="2894" t="str">
        <f>ORG!$S$1</f>
        <v>Jul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Jul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Jul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Jul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Jul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Jul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Jul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Jul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Jul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Jul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Jul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Jul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Jul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Jul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Jul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Jul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Jul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Jul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Jul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Jul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Jul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Jul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Jul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Jul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Jul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Jul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Jul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Jul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Jul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Jul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Jul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Jul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Jul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Jul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Jul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Jul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Jul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Jul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Jul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Jul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Jul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Jul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Jul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Jul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Jul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Jul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Jul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Jul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Jul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Jul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Jul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Jul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Jul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Jul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Jul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Jul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Jul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Jul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Jul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Jul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Jul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Jul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Jul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Jul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Jul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Jul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Jul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Jul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Jul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Jul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Jul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Jul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Jul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Jul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Jul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Jul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Jul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Jul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Jul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Jul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Jul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Jul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Jul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Jul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Jul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Jul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Jul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Jul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Jul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Jul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Jul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Jul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Jul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Jul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Jul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Jul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Jul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Jul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Jul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Jul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Jul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Jul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Jul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Jul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Jul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Jul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Jul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Jul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Jul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Jul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Jul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Jul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Jul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Jul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Jul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Jul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Jul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Jul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Jul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Jul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Jul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Jul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Jul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Jul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Jul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Jul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Jul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Jul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Jul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Jul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Jul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Jul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Jul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Jul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Jul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Jul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Jul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Jul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Jul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Jul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Jul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Jul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Jul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Jul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Jul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Jul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Jul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Jul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Jul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Jul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Jul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Jul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Jul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Jul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Jul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Jul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Jul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Jul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Jul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Jul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Jul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Jul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Jul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Jul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Jul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Jul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Jul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Jul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Jul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Jul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Jul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Jul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Jul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Jul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Jul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Jul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Jul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Jul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Jul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Jul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Jul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Jul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Jul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Jul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Jul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Jul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Jul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Jul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Jul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Jul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Jul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Jul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Jul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Jul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Jul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Jul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Jul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Jul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Jul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Jul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Jul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Jul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Jul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Jul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Jul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Jul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Jul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Jul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Jul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Jul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Jul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Jul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Jul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Jul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Jul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Jul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Jul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Jul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Jul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Jul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Jul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Jul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Jul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Jul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Jul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Jul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Jul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Jul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Jul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Jul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Jul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Jul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Jul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Jul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Jul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Jul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Jul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Jul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Jul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Jul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Jul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Jul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Jul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Jul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Jul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Jul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Jul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Jul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Jul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Jul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Jul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Jul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Jul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Jul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Jul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Jul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Jul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Jul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Jul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Jul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Jul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Jul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Jul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Jul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Jul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Jul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Jul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Jul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Jul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Jul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Jul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Jul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Jul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Jul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Jul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Jul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Jul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Jul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Jul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Jul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Jul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Jul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Jul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Jul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Jul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Jul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Jul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Jul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Jul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Jul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Jul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Jul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Jul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Jul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Jul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Jul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Jul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Jul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Jul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Jul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Jul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Jul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Jul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Jul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Jul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Jul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Jul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Jul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Jul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Jul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Jul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Jul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Jul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Jul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Jul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Jul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Jul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Jul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Jul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Jul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Jul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Jul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Jul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Jul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Jul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Jul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Jul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Jul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Jul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Jul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Jul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Jul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Jul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Jul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Jul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Jul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Jul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Jul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Jul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Jul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Jul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Jul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Jul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Jul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Jul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Jul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Jul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Jul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Jul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Jul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Jul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Jul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Jul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Jul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Jul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Jul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Jul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Jul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Jul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Jul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Jul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Jul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Jul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Jul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Jul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Jul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Jul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Jul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Jul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Jul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Jul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Jul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Jul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Jul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Jul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Jul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Jul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Jul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Jul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Jul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Jul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Jul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Jul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Jul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Jul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Jul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Jul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Jul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Jul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Jul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Jul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Jul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Jul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Jul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Jul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Jul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Jul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Jul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Jul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Jul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Jul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Jul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Jul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Jul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Jul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Jul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Jul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Jul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Jul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Jul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Jul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Jul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Jul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Jul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Jul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Jul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Jul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Jul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Jul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Jul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Jul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Jul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Jul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Jul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Jul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Jul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Jul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Jul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Jul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Jul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Jul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Jul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Jul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Jul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Jul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Jul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Jul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Jul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Jul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Jul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Jul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Jul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Jul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Jul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Jul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Jul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Jul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Jul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Jul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Jul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Jul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Jul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Jul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Jul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Jul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Jul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Jul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Jul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Jul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Jul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Jul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Jul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Jul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Jul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Jul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Jul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Jul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Jul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Jul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Jul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Jul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Jul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Jul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Jul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Jul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Jul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Jul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Jul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Jul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Jul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Jul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Jul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Jul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Jul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Jul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Jul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Jul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Jul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Jul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Jul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Jul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Jul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Jul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Jul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Jul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Jul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Jul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Jul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Jul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Jul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Jul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Jul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Jul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Jul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Jul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Jul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Jul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Jul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Jul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Jul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Jul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Jul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Jul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Jul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Jul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Jul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Jul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Jul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Jul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Jul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Jul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Jul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Jul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Jul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Jul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Jul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Jul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Jul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Jul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Jul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Jul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Jul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Jul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Jul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Jul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Jul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Jul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Jul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Jul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Jul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Jul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Jul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Jul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Jul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Jul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Jul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Jul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Jul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Jul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Jul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Jul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Jul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Jul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Jul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Jul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Jul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Jul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Jul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Jul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Jul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Jul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Jul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Jul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Jul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Jul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Jul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Jul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Jul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Jul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Jul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Jul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Jul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Jul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Jul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Jul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Jul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Jul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Jul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Jul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Jul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Jul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Jul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Jul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Jul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Jul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Jul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Jul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Jul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Jul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Jul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Jul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Jul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Jul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Jul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Jul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Jul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Jul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Jul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Jul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Jul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Jul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Jul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Jul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Jul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Jul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Jul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Jul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Jul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Jul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Jul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Jul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Jul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Jul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Jul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Jul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Jul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Jul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Jul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Jul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Jul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Jul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Jul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Jul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Jul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Jul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Jul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Jul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Jul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Jul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Jul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Jul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Jul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Jul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Jul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Jul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Jul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Jul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Jul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Jul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Jul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Jul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Jul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Jul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Jul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Jul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Jul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Jul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Jul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Jul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Jul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Jul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Jul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Jul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Jul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Jul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Jul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Jul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Jul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Jul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Jul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Jul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Jul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Jul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Jul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Jul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Jul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Jul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Jul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Jul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Jul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Jul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226502.52691353331</v>
      </c>
      <c r="U1319">
        <f t="shared" si="32"/>
        <v>226502.52691353331</v>
      </c>
    </row>
    <row r="1320" spans="1:21">
      <c r="A1320" s="2894" t="str">
        <f>ORG!$S$1</f>
        <v>Jul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0</v>
      </c>
      <c r="U1320">
        <f t="shared" si="32"/>
        <v>0</v>
      </c>
    </row>
    <row r="1321" spans="1:21">
      <c r="A1321" s="2894" t="str">
        <f>ORG!$S$1</f>
        <v>Jul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Jul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Jul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Jul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122</v>
      </c>
      <c r="U1324">
        <f t="shared" si="32"/>
        <v>122</v>
      </c>
    </row>
    <row r="1325" spans="1:21">
      <c r="A1325" s="2894" t="str">
        <f>ORG!$S$1</f>
        <v>Jul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Jul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Jul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12633.919</v>
      </c>
      <c r="U1327">
        <f t="shared" si="32"/>
        <v>12633.919</v>
      </c>
    </row>
    <row r="1328" spans="1:21">
      <c r="A1328" s="2894" t="str">
        <f>ORG!$S$1</f>
        <v>Jul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Jul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Jul 23</v>
      </c>
      <c r="B1330" t="str">
        <f>ORG!$M$1</f>
        <v>Public Health Wales Trust</v>
      </c>
      <c r="C1330" t="str">
        <f>'E1 - Invoiced Income'!$A$7</f>
        <v>Table E1 -  Invoiced Income Streams - TRUSTS ONLY</v>
      </c>
      <c r="D1330" s="2897">
        <f>'E1 - Invoiced Income'!A25</f>
        <v>14</v>
      </c>
      <c r="E1330" s="2896" t="str">
        <f>'E1 - Invoiced Income'!B25</f>
        <v>M1-4 Consolidated pay award (1.5%) (based on actuals paid to date)</v>
      </c>
      <c r="S1330">
        <f>'E1 - Invoiced Income'!T25</f>
        <v>443</v>
      </c>
      <c r="U1330">
        <f t="shared" si="32"/>
        <v>443</v>
      </c>
    </row>
    <row r="1331" spans="1:21">
      <c r="A1331" s="2894" t="str">
        <f>ORG!$S$1</f>
        <v>Jul 23</v>
      </c>
      <c r="B1331" t="str">
        <f>ORG!$M$1</f>
        <v>Public Health Wales Trust</v>
      </c>
      <c r="C1331" t="str">
        <f>'E1 - Invoiced Income'!$A$7</f>
        <v>Table E1 -  Invoiced Income Streams - TRUSTS ONLY</v>
      </c>
      <c r="D1331" s="2897">
        <f>'E1 - Invoiced Income'!A26</f>
        <v>15</v>
      </c>
      <c r="E1331" s="2896" t="str">
        <f>'E1 - Invoiced Income'!B26</f>
        <v>2023-24 5% pay award (based on actuals paid to date)</v>
      </c>
      <c r="S1331">
        <f>'E1 - Invoiced Income'!T26</f>
        <v>1304</v>
      </c>
      <c r="U1331">
        <f t="shared" si="32"/>
        <v>1304</v>
      </c>
    </row>
    <row r="1332" spans="1:21">
      <c r="A1332" s="2894" t="str">
        <f>ORG!$S$1</f>
        <v>Jul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Jul 23</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Jul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Jul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Jul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Jul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Jul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Jul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Jul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Jul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Jul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Jul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Jul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Jul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Jul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Jul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Jul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Jul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Jul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Jul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Jul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Jul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242226.4459135333</v>
      </c>
      <c r="U1353">
        <f t="shared" si="32"/>
        <v>242226.4459135333</v>
      </c>
    </row>
    <row r="1354" spans="1:21">
      <c r="A1354" s="2894" t="str">
        <f>ORG!$S$1</f>
        <v>Jul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2633.3470000000002</v>
      </c>
      <c r="U1354">
        <f t="shared" si="32"/>
        <v>2633.3470000000002</v>
      </c>
    </row>
    <row r="1355" spans="1:21">
      <c r="A1355" s="2894" t="str">
        <f>ORG!$S$1</f>
        <v>Jul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231.81100000000001</v>
      </c>
      <c r="U1355">
        <f t="shared" si="32"/>
        <v>231.81100000000001</v>
      </c>
    </row>
    <row r="1356" spans="1:21">
      <c r="A1356" s="2894" t="str">
        <f>ORG!$S$1</f>
        <v>Jul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Jul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Jul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Jul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Jul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Jul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Jul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Jul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Jul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Jul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Jul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Jul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Jul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Jul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Jul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Jul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Jul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Jul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Jul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Jul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Jul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Jul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Jul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Jul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Jul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Jul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Jul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Jul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Jul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2865.1580000000004</v>
      </c>
      <c r="U1384">
        <f t="shared" si="32"/>
        <v>2865.1580000000004</v>
      </c>
    </row>
    <row r="1385" spans="1:21">
      <c r="A1385" s="2894" t="str">
        <f>ORG!$S$1</f>
        <v>Jul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11375.73</v>
      </c>
      <c r="U1385">
        <f t="shared" ref="U1385:U1415" si="381">S1385+T1385</f>
        <v>11375.73</v>
      </c>
    </row>
    <row r="1386" spans="1:21">
      <c r="A1386" s="2894" t="str">
        <f>ORG!$S$1</f>
        <v>Jul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1258.1890000000001</v>
      </c>
      <c r="U1386">
        <f t="shared" si="381"/>
        <v>1258.1890000000001</v>
      </c>
    </row>
    <row r="1387" spans="1:21">
      <c r="A1387" s="2894" t="str">
        <f>ORG!$S$1</f>
        <v>Jul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Jul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Jul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Jul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Jul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Jul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Jul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Jul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Jul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Jul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Jul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Jul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Jul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Jul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Jul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Jul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Jul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Jul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Jul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Jul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Jul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Jul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Jul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Jul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Jul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Jul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Jul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Jul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Jul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12633.919</v>
      </c>
      <c r="U1415">
        <f t="shared" si="381"/>
        <v>12633.919</v>
      </c>
    </row>
    <row r="1416" spans="1:21">
      <c r="A1416" s="2894" t="str">
        <f>ORG!$S$1</f>
        <v>Jul 23</v>
      </c>
      <c r="B1416" t="str">
        <f>ORG!$M$1</f>
        <v>Public Health Wales Trust</v>
      </c>
      <c r="C1416" t="s">
        <v>910</v>
      </c>
      <c r="D1416" s="2897">
        <f>'I - Capital RLM'!$A$129</f>
        <v>92</v>
      </c>
      <c r="E1416" s="2897" t="str">
        <f>'I - Capital RLM'!$B$129</f>
        <v xml:space="preserve">CHARGE AGAINST CRL / CEL  </v>
      </c>
      <c r="F1416" t="s">
        <v>1359</v>
      </c>
      <c r="S1416">
        <f>'I - Capital RLM'!C129</f>
        <v>32.248040000000003</v>
      </c>
    </row>
    <row r="1417" spans="1:21">
      <c r="A1417" s="2894" t="str">
        <f>ORG!$S$1</f>
        <v>Jul 23</v>
      </c>
      <c r="B1417" t="str">
        <f>ORG!$M$1</f>
        <v>Public Health Wales Trust</v>
      </c>
      <c r="C1417" t="s">
        <v>910</v>
      </c>
      <c r="D1417" s="2897">
        <f>'I - Capital RLM'!$A$129</f>
        <v>92</v>
      </c>
      <c r="E1417" s="2897" t="str">
        <f>'I - Capital RLM'!$B$129</f>
        <v xml:space="preserve">CHARGE AGAINST CRL / CEL  </v>
      </c>
      <c r="F1417" t="s">
        <v>1360</v>
      </c>
      <c r="S1417">
        <f>'I - Capital RLM'!D129</f>
        <v>32.248040000000003</v>
      </c>
    </row>
    <row r="1418" spans="1:21">
      <c r="A1418" s="2894" t="str">
        <f>ORG!$S$1</f>
        <v>Jul 23</v>
      </c>
      <c r="B1418" t="str">
        <f>ORG!$M$1</f>
        <v>Public Health Wales Trust</v>
      </c>
      <c r="C1418" t="s">
        <v>910</v>
      </c>
      <c r="D1418" s="2897">
        <f>'I - Capital RLM'!$A$129</f>
        <v>92</v>
      </c>
      <c r="E1418" s="2897" t="str">
        <f>'I - Capital RLM'!$B$129</f>
        <v xml:space="preserve">CHARGE AGAINST CRL / CEL  </v>
      </c>
      <c r="F1418" t="s">
        <v>1361</v>
      </c>
      <c r="S1418">
        <f>'I - Capital RLM'!G129</f>
        <v>1808.99955</v>
      </c>
    </row>
    <row r="1419" spans="1:21">
      <c r="A1419" s="2894" t="str">
        <f>ORG!$S$1</f>
        <v>Jul 23</v>
      </c>
      <c r="B1419" t="str">
        <f>ORG!$M$1</f>
        <v>Public Health Wales Trust</v>
      </c>
      <c r="C1419" t="s">
        <v>910</v>
      </c>
      <c r="D1419" s="2897">
        <f>'I - Capital RLM'!$A$129</f>
        <v>92</v>
      </c>
      <c r="E1419" s="2897" t="str">
        <f>'I - Capital RLM'!$B$129</f>
        <v xml:space="preserve">CHARGE AGAINST CRL / CEL  </v>
      </c>
      <c r="F1419" t="s">
        <v>1362</v>
      </c>
      <c r="S1419">
        <f>'I - Capital RLM'!H129</f>
        <v>1808.9995199999998</v>
      </c>
    </row>
    <row r="1420" spans="1:21">
      <c r="A1420" s="2894" t="str">
        <f>ORG!$S$1</f>
        <v>Jul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Jul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Jul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Jul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Jul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Jul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Jul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Jul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Jul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Jul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Jul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Jul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Jul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Jul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Jul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Jul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Jul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Jul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Jul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Jul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Jul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Jul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Jul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Jul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Jul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Jul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Jul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Jul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Jul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Jul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Jul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Jul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Jul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Jul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Jul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Jul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Jul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Jul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Jul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Jul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Jul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Jul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Jul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Jul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Jul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Jul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Jul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Jul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Jul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Jul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Jul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Jul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Jul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Jul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Jul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Jul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Jul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Jul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Jul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Jul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Jul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Jul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Jul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Jul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Jul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Jul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Jul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Jul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Jul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Jul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Jul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Jul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Jul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Jul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Jul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Jul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Jul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Jul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Jul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Jul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Jul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Jul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Jul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Jul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Jul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Jul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Jul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Jul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Jul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Jul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Jul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Jul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Jul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Jul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Jul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Jul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Jul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Jul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Jul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Jul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Jul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Jul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Jul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Jul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Jul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Jul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Jul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Jul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Jul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Jul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Jul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Jul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Jul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Jul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Jul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Jul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Jul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Jul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Jul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Jul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Jul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Jul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Jul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Jul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Jul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Jul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Jul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Jul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Jul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Jul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Jul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Jul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Jul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Jul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Jul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Jul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Jul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Jul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Jul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Jul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Jul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Jul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Jul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Jul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Jul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Jul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Jul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Jul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Jul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Jul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Jul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Jul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Jul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Jul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Jul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Jul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Jul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Jul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Jul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Jul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Jul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Jul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Jul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Jul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Jul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Jul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Jul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Jul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Jul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Jul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Jul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Jul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Jul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Jul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Jul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Jul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Jul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Jul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Jul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Jul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Jul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Jul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Jul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Jul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Jul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Jul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Jul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Jul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Jul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Jul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Jul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Jul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Jul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Jul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Jul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Jul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Jul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Jul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Jul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Jul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Jul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Jul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324</v>
      </c>
      <c r="K1621">
        <f>'B1 - SOCNE SOCNI Movement'!H12</f>
        <v>24</v>
      </c>
      <c r="L1621">
        <f>'B1 - SOCNE SOCNI Movement'!I12</f>
        <v>24</v>
      </c>
      <c r="M1621">
        <f>'B1 - SOCNE SOCNI Movement'!J12</f>
        <v>24</v>
      </c>
      <c r="N1621">
        <f>'B1 - SOCNE SOCNI Movement'!K12</f>
        <v>18</v>
      </c>
      <c r="O1621">
        <f>'B1 - SOCNE SOCNI Movement'!L12</f>
        <v>18</v>
      </c>
      <c r="P1621">
        <f>'B1 - SOCNE SOCNI Movement'!M12</f>
        <v>18</v>
      </c>
      <c r="Q1621">
        <f>'B1 - SOCNE SOCNI Movement'!N12</f>
        <v>18</v>
      </c>
      <c r="R1621">
        <f>'B1 - SOCNE SOCNI Movement'!O12</f>
        <v>17</v>
      </c>
      <c r="S1621">
        <f>'B1 - SOCNE SOCNI Movement'!P12</f>
        <v>485</v>
      </c>
      <c r="U1621">
        <f t="shared" si="395"/>
        <v>485</v>
      </c>
    </row>
    <row r="1622" spans="1:21">
      <c r="A1622" s="2894" t="str">
        <f>ORG!$S$1</f>
        <v>Jul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27</v>
      </c>
      <c r="K1622">
        <f>'B1 - SOCNE SOCNI Movement'!H13</f>
        <v>18</v>
      </c>
      <c r="L1622">
        <f>'B1 - SOCNE SOCNI Movement'!I13</f>
        <v>18</v>
      </c>
      <c r="M1622">
        <f>'B1 - SOCNE SOCNI Movement'!J13</f>
        <v>18</v>
      </c>
      <c r="N1622">
        <f>'B1 - SOCNE SOCNI Movement'!K13</f>
        <v>18</v>
      </c>
      <c r="O1622">
        <f>'B1 - SOCNE SOCNI Movement'!L13</f>
        <v>18</v>
      </c>
      <c r="P1622">
        <f>'B1 - SOCNE SOCNI Movement'!M13</f>
        <v>18</v>
      </c>
      <c r="Q1622">
        <f>'B1 - SOCNE SOCNI Movement'!N13</f>
        <v>18</v>
      </c>
      <c r="R1622">
        <f>'B1 - SOCNE SOCNI Movement'!O13</f>
        <v>18</v>
      </c>
      <c r="S1622">
        <f>'B1 - SOCNE SOCNI Movement'!P13</f>
        <v>171</v>
      </c>
      <c r="U1622">
        <f t="shared" si="395"/>
        <v>171</v>
      </c>
    </row>
    <row r="1623" spans="1:21">
      <c r="A1623" s="2894" t="str">
        <f>ORG!$S$1</f>
        <v>Jul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-178.74983042841268</v>
      </c>
      <c r="K1623">
        <f>'B1 - SOCNE SOCNI Movement'!H14</f>
        <v>-40.902894999999262</v>
      </c>
      <c r="L1623">
        <f>'B1 - SOCNE SOCNI Movement'!I14</f>
        <v>-269.90508499999851</v>
      </c>
      <c r="M1623">
        <f>'B1 - SOCNE SOCNI Movement'!J14</f>
        <v>-225.98258499999793</v>
      </c>
      <c r="N1623">
        <f>'B1 - SOCNE SOCNI Movement'!K14</f>
        <v>-145.98358499999813</v>
      </c>
      <c r="O1623">
        <f>'B1 - SOCNE SOCNI Movement'!L14</f>
        <v>-65.170084999997925</v>
      </c>
      <c r="P1623">
        <f>'B1 - SOCNE SOCNI Movement'!M14</f>
        <v>-171.47558500000014</v>
      </c>
      <c r="Q1623">
        <f>'B1 - SOCNE SOCNI Movement'!N14</f>
        <v>-156.55976500000179</v>
      </c>
      <c r="R1623">
        <f>'B1 - SOCNE SOCNI Movement'!O14</f>
        <v>3245.7107949999991</v>
      </c>
      <c r="S1623">
        <f>'B1 - SOCNE SOCNI Movement'!P14</f>
        <v>1990.9813795715745</v>
      </c>
      <c r="U1623">
        <f t="shared" si="395"/>
        <v>1990.9813795715745</v>
      </c>
    </row>
    <row r="1624" spans="1:21">
      <c r="A1624" s="2894" t="str">
        <f>ORG!$S$1</f>
        <v>Jul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284.33199999999999</v>
      </c>
      <c r="K1624">
        <f>'B1 - SOCNE SOCNI Movement'!H15</f>
        <v>73.423000000000002</v>
      </c>
      <c r="L1624">
        <f>'B1 - SOCNE SOCNI Movement'!I15</f>
        <v>35.829999999999984</v>
      </c>
      <c r="M1624">
        <f>'B1 - SOCNE SOCNI Movement'!J15</f>
        <v>33.918999999999983</v>
      </c>
      <c r="N1624">
        <f>'B1 - SOCNE SOCNI Movement'!K15</f>
        <v>33.918000000000006</v>
      </c>
      <c r="O1624">
        <f>'B1 - SOCNE SOCNI Movement'!L15</f>
        <v>33.923999999999978</v>
      </c>
      <c r="P1624">
        <f>'B1 - SOCNE SOCNI Movement'!M15</f>
        <v>33.923999999999978</v>
      </c>
      <c r="Q1624">
        <f>'B1 - SOCNE SOCNI Movement'!N15</f>
        <v>33.423000000000002</v>
      </c>
      <c r="R1624">
        <f>'B1 - SOCNE SOCNI Movement'!O15</f>
        <v>33.117000000000019</v>
      </c>
      <c r="S1624">
        <f>'B1 - SOCNE SOCNI Movement'!P15</f>
        <v>595.80999999999949</v>
      </c>
      <c r="U1624">
        <f t="shared" si="395"/>
        <v>595.80999999999949</v>
      </c>
    </row>
    <row r="1625" spans="1:21">
      <c r="A1625" s="2894" t="str">
        <f>ORG!$S$1</f>
        <v>Jul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456.58216957158584</v>
      </c>
      <c r="K1625">
        <f>'B1 - SOCNE SOCNI Movement'!H16</f>
        <v>74.520104999999603</v>
      </c>
      <c r="L1625">
        <f>'B1 - SOCNE SOCNI Movement'!I16</f>
        <v>-192.0750850000004</v>
      </c>
      <c r="M1625">
        <f>'B1 - SOCNE SOCNI Movement'!J16</f>
        <v>-150.06358499999988</v>
      </c>
      <c r="N1625">
        <f>'B1 - SOCNE SOCNI Movement'!K16</f>
        <v>-76.065585000000283</v>
      </c>
      <c r="O1625">
        <f>'B1 - SOCNE SOCNI Movement'!L16</f>
        <v>4.7539150000011432</v>
      </c>
      <c r="P1625">
        <f>'B1 - SOCNE SOCNI Movement'!M16</f>
        <v>-101.55158500000107</v>
      </c>
      <c r="Q1625">
        <f>'B1 - SOCNE SOCNI Movement'!N16</f>
        <v>-87.136765000002924</v>
      </c>
      <c r="R1625">
        <f>'B1 - SOCNE SOCNI Movement'!O16</f>
        <v>3313.8277950000011</v>
      </c>
      <c r="S1625">
        <f>'B1 - SOCNE SOCNI Movement'!P16</f>
        <v>3242.7913795715722</v>
      </c>
      <c r="U1625">
        <f t="shared" si="395"/>
        <v>3242.7913795715722</v>
      </c>
    </row>
    <row r="1626" spans="1:21">
      <c r="A1626" s="2894" t="str">
        <f>ORG!$S$1</f>
        <v>Jul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Jul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Jul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1436.6138499999997</v>
      </c>
      <c r="K1628">
        <f>'B1 - SOCNE SOCNI Movement'!H19</f>
        <v>-10.887249999999767</v>
      </c>
      <c r="L1628">
        <f>'B1 - SOCNE SOCNI Movement'!I19</f>
        <v>29</v>
      </c>
      <c r="M1628">
        <f>'B1 - SOCNE SOCNI Movement'!J19</f>
        <v>83</v>
      </c>
      <c r="N1628">
        <f>'B1 - SOCNE SOCNI Movement'!K19</f>
        <v>93</v>
      </c>
      <c r="O1628">
        <f>'B1 - SOCNE SOCNI Movement'!L19</f>
        <v>98</v>
      </c>
      <c r="P1628">
        <f>'B1 - SOCNE SOCNI Movement'!M19</f>
        <v>97</v>
      </c>
      <c r="Q1628">
        <f>'B1 - SOCNE SOCNI Movement'!N19</f>
        <v>99</v>
      </c>
      <c r="R1628">
        <f>'B1 - SOCNE SOCNI Movement'!O19</f>
        <v>328</v>
      </c>
      <c r="S1628">
        <f>'B1 - SOCNE SOCNI Movement'!P19</f>
        <v>2252.7266000000236</v>
      </c>
      <c r="U1628">
        <f t="shared" si="395"/>
        <v>2252.7266000000236</v>
      </c>
    </row>
    <row r="1629" spans="1:21">
      <c r="A1629" s="2894" t="str">
        <f>ORG!$S$1</f>
        <v>Jul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-1074.0316804284148</v>
      </c>
      <c r="K1629">
        <f>'B1 - SOCNE SOCNI Movement'!H20</f>
        <v>85.495354999999108</v>
      </c>
      <c r="L1629">
        <f>'B1 - SOCNE SOCNI Movement'!I20</f>
        <v>-221.4580849999993</v>
      </c>
      <c r="M1629">
        <f>'B1 - SOCNE SOCNI Movement'!J20</f>
        <v>-233.14558499999839</v>
      </c>
      <c r="N1629">
        <f>'B1 - SOCNE SOCNI Movement'!K20</f>
        <v>-169.14558500000021</v>
      </c>
      <c r="O1629">
        <f>'B1 - SOCNE SOCNI Movement'!L20</f>
        <v>-93.33308500000021</v>
      </c>
      <c r="P1629">
        <f>'B1 - SOCNE SOCNI Movement'!M20</f>
        <v>-198.64558499999839</v>
      </c>
      <c r="Q1629">
        <f>'B1 - SOCNE SOCNI Movement'!N20</f>
        <v>-186.07086164999964</v>
      </c>
      <c r="R1629">
        <f>'B1 - SOCNE SOCNI Movement'!O20</f>
        <v>3080.7486983500003</v>
      </c>
      <c r="S1629">
        <f>'B1 - SOCNE SOCNI Movement'!P20</f>
        <v>990.12358627161302</v>
      </c>
      <c r="U1629">
        <f t="shared" si="395"/>
        <v>990.12358627161302</v>
      </c>
    </row>
    <row r="1630" spans="1:21">
      <c r="A1630" s="2894" t="str">
        <f>ORG!$S$1</f>
        <v>Jul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Jul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Jul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Jul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Jul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Jul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Jul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Jul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Jul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Jul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Jul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v>
      </c>
      <c r="L1640">
        <f>'B1 - SOCNE SOCNI Movement'!I31</f>
        <v>0</v>
      </c>
      <c r="M1640">
        <f>'B1 - SOCNE SOCNI Movement'!J31</f>
        <v>0</v>
      </c>
      <c r="N1640">
        <f>'B1 - SOCNE SOCNI Movement'!K31</f>
        <v>0</v>
      </c>
      <c r="O1640">
        <f>'B1 - SOCNE SOCNI Movement'!L31</f>
        <v>0</v>
      </c>
      <c r="P1640">
        <f>'B1 - SOCNE SOCNI Movement'!M31</f>
        <v>0</v>
      </c>
      <c r="Q1640">
        <f>'B1 - SOCNE SOCNI Movement'!N31</f>
        <v>0</v>
      </c>
      <c r="R1640">
        <f>'B1 - SOCNE SOCNI Movement'!O31</f>
        <v>0</v>
      </c>
      <c r="S1640">
        <f>'B1 - SOCNE SOCNI Movement'!P31</f>
        <v>0.16000000000076398</v>
      </c>
      <c r="U1640">
        <f t="shared" si="395"/>
        <v>0.16000000000076398</v>
      </c>
    </row>
    <row r="1641" spans="1:21">
      <c r="A1641" s="2894" t="str">
        <f>ORG!$S$1</f>
        <v>Jul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0.12999999999999545</v>
      </c>
      <c r="U1641">
        <f t="shared" si="395"/>
        <v>0.12999999999999545</v>
      </c>
    </row>
    <row r="1642" spans="1:21">
      <c r="A1642" s="2894" t="str">
        <f>ORG!$S$1</f>
        <v>Jul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Jul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Jul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362.58216957158584</v>
      </c>
      <c r="K1644">
        <f>'B1 - SOCNE SOCNI Movement'!H35</f>
        <v>74.608104999999341</v>
      </c>
      <c r="L1644">
        <f>'B1 - SOCNE SOCNI Movement'!I35</f>
        <v>-192.45808500000203</v>
      </c>
      <c r="M1644">
        <f>'B1 - SOCNE SOCNI Movement'!J35</f>
        <v>-150.14558499999839</v>
      </c>
      <c r="N1644">
        <f>'B1 - SOCNE SOCNI Movement'!K35</f>
        <v>-76.145585000002029</v>
      </c>
      <c r="O1644">
        <f>'B1 - SOCNE SOCNI Movement'!L35</f>
        <v>4.6669150000016089</v>
      </c>
      <c r="P1644">
        <f>'B1 - SOCNE SOCNI Movement'!M35</f>
        <v>-101.64558499999839</v>
      </c>
      <c r="Q1644">
        <f>'B1 - SOCNE SOCNI Movement'!N35</f>
        <v>-87.070861650001461</v>
      </c>
      <c r="R1644">
        <f>'B1 - SOCNE SOCNI Movement'!O35</f>
        <v>3408.7486983499984</v>
      </c>
      <c r="S1644">
        <f>'B1 - SOCNE SOCNI Movement'!P35</f>
        <v>3243.140186271572</v>
      </c>
      <c r="U1644">
        <f t="shared" si="395"/>
        <v>3243.140186271572</v>
      </c>
    </row>
    <row r="1645" spans="1:21">
      <c r="A1645" s="2894" t="str">
        <f>ORG!$S$1</f>
        <v>Jul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94</v>
      </c>
      <c r="K1645">
        <f>'B1 - SOCNE SOCNI Movement'!H36</f>
        <v>-8.7999999996100087E-2</v>
      </c>
      <c r="L1645">
        <f>'B1 - SOCNE SOCNI Movement'!I36</f>
        <v>0.38300000000162981</v>
      </c>
      <c r="M1645">
        <f>'B1 - SOCNE SOCNI Movement'!J36</f>
        <v>8.2000000002153683E-2</v>
      </c>
      <c r="N1645">
        <f>'B1 - SOCNE SOCNI Movement'!K36</f>
        <v>8.000000000174623E-2</v>
      </c>
      <c r="O1645">
        <f>'B1 - SOCNE SOCNI Movement'!L36</f>
        <v>8.6999999999534339E-2</v>
      </c>
      <c r="P1645">
        <f>'B1 - SOCNE SOCNI Movement'!M36</f>
        <v>9.4000000000960426E-2</v>
      </c>
      <c r="Q1645">
        <f>'B1 - SOCNE SOCNI Movement'!N36</f>
        <v>-6.5903350001462968E-2</v>
      </c>
      <c r="R1645">
        <f>'B1 - SOCNE SOCNI Movement'!O36</f>
        <v>-94.920903349997388</v>
      </c>
      <c r="S1645">
        <f>'B1 - SOCNE SOCNI Movement'!P36</f>
        <v>-0.34880669998892699</v>
      </c>
      <c r="U1645">
        <f t="shared" si="395"/>
        <v>-0.34880669998892699</v>
      </c>
    </row>
    <row r="1646" spans="1:21">
      <c r="A1646" s="2894" t="str">
        <f>ORG!$S$1</f>
        <v>Jul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Jul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Jul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Jul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Jul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1934</v>
      </c>
      <c r="K1650">
        <f>'B1 - SOCNE SOCNI Movement'!H43</f>
        <v>1934</v>
      </c>
      <c r="L1650">
        <f>'B1 - SOCNE SOCNI Movement'!I43</f>
        <v>1934</v>
      </c>
      <c r="M1650">
        <f>'B1 - SOCNE SOCNI Movement'!J43</f>
        <v>1927</v>
      </c>
      <c r="N1650">
        <f>'B1 - SOCNE SOCNI Movement'!K43</f>
        <v>1927</v>
      </c>
      <c r="O1650">
        <f>'B1 - SOCNE SOCNI Movement'!L43</f>
        <v>1927</v>
      </c>
      <c r="P1650">
        <f>'B1 - SOCNE SOCNI Movement'!M43</f>
        <v>1927</v>
      </c>
      <c r="Q1650">
        <f>'B1 - SOCNE SOCNI Movement'!N43</f>
        <v>1927</v>
      </c>
      <c r="R1650">
        <f>'B1 - SOCNE SOCNI Movement'!O43</f>
        <v>1928</v>
      </c>
      <c r="S1650">
        <f>'B1 - SOCNE SOCNI Movement'!P43</f>
        <v>23414</v>
      </c>
      <c r="U1650">
        <f t="shared" si="395"/>
        <v>23414</v>
      </c>
    </row>
    <row r="1651" spans="1:21">
      <c r="A1651" s="2894" t="str">
        <f>ORG!$S$1</f>
        <v>Jul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50</v>
      </c>
      <c r="U1651">
        <f t="shared" si="395"/>
        <v>50</v>
      </c>
    </row>
    <row r="1652" spans="1:21">
      <c r="A1652" s="2894" t="str">
        <f>ORG!$S$1</f>
        <v>Jul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18062.749830428413</v>
      </c>
      <c r="K1652">
        <f>'B1 - SOCNE SOCNI Movement'!H45</f>
        <v>16960.033163761749</v>
      </c>
      <c r="L1652">
        <f>'B1 - SOCNE SOCNI Movement'!I45</f>
        <v>17360.770678371584</v>
      </c>
      <c r="M1652">
        <f>'B1 - SOCNE SOCNI Movement'!J45</f>
        <v>17918.215655619671</v>
      </c>
      <c r="N1652">
        <f>'B1 - SOCNE SOCNI Movement'!K45</f>
        <v>17570.458189846995</v>
      </c>
      <c r="O1652">
        <f>'B1 - SOCNE SOCNI Movement'!L45</f>
        <v>17869.640655619671</v>
      </c>
      <c r="P1652">
        <f>'B1 - SOCNE SOCNI Movement'!M45</f>
        <v>17667.215655619671</v>
      </c>
      <c r="Q1652">
        <f>'B1 - SOCNE SOCNI Movement'!N45</f>
        <v>17628.645004074318</v>
      </c>
      <c r="R1652">
        <f>'B1 - SOCNE SOCNI Movement'!O45</f>
        <v>18657.735700619673</v>
      </c>
      <c r="S1652">
        <f>'B1 - SOCNE SOCNI Movement'!P45</f>
        <v>207660.46453396176</v>
      </c>
      <c r="U1652">
        <f t="shared" si="395"/>
        <v>207660.46453396176</v>
      </c>
    </row>
    <row r="1653" spans="1:21">
      <c r="A1653" s="2894" t="str">
        <f>ORG!$S$1</f>
        <v>Jul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384.66800000000001</v>
      </c>
      <c r="K1653">
        <f>'B1 - SOCNE SOCNI Movement'!H46</f>
        <v>383.66800000000001</v>
      </c>
      <c r="L1653">
        <f>'B1 - SOCNE SOCNI Movement'!I46</f>
        <v>383.66800000000001</v>
      </c>
      <c r="M1653">
        <f>'B1 - SOCNE SOCNI Movement'!J46</f>
        <v>383.66800000000001</v>
      </c>
      <c r="N1653">
        <f>'B1 - SOCNE SOCNI Movement'!K46</f>
        <v>383.66800000000001</v>
      </c>
      <c r="O1653">
        <f>'B1 - SOCNE SOCNI Movement'!L46</f>
        <v>383.66800000000001</v>
      </c>
      <c r="P1653">
        <f>'B1 - SOCNE SOCNI Movement'!M46</f>
        <v>381.66800000000001</v>
      </c>
      <c r="Q1653">
        <f>'B1 - SOCNE SOCNI Movement'!N46</f>
        <v>379.66800000000001</v>
      </c>
      <c r="R1653">
        <f>'B1 - SOCNE SOCNI Movement'!O46</f>
        <v>379.654</v>
      </c>
      <c r="S1653">
        <f>'B1 - SOCNE SOCNI Movement'!P46</f>
        <v>5076.9979999999996</v>
      </c>
      <c r="U1653">
        <f t="shared" si="395"/>
        <v>5076.9979999999996</v>
      </c>
    </row>
    <row r="1654" spans="1:21">
      <c r="A1654" s="2894" t="str">
        <f>ORG!$S$1</f>
        <v>Jul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20381.417830428414</v>
      </c>
      <c r="K1654">
        <f>'B1 - SOCNE SOCNI Movement'!H47</f>
        <v>19277.701163761751</v>
      </c>
      <c r="L1654">
        <f>'B1 - SOCNE SOCNI Movement'!I47</f>
        <v>19678.438678371585</v>
      </c>
      <c r="M1654">
        <f>'B1 - SOCNE SOCNI Movement'!J47</f>
        <v>20228.883655619673</v>
      </c>
      <c r="N1654">
        <f>'B1 - SOCNE SOCNI Movement'!K47</f>
        <v>19881.126189846997</v>
      </c>
      <c r="O1654">
        <f>'B1 - SOCNE SOCNI Movement'!L47</f>
        <v>20180.308655619672</v>
      </c>
      <c r="P1654">
        <f>'B1 - SOCNE SOCNI Movement'!M47</f>
        <v>19975.883655619673</v>
      </c>
      <c r="Q1654">
        <f>'B1 - SOCNE SOCNI Movement'!N47</f>
        <v>19935.31300407432</v>
      </c>
      <c r="R1654">
        <f>'B1 - SOCNE SOCNI Movement'!O47</f>
        <v>20965.389700619671</v>
      </c>
      <c r="S1654">
        <f>'B1 - SOCNE SOCNI Movement'!P47</f>
        <v>236201.46253396178</v>
      </c>
      <c r="U1654">
        <f t="shared" si="395"/>
        <v>236201.46253396178</v>
      </c>
    </row>
    <row r="1655" spans="1:21">
      <c r="A1655" s="2894" t="str">
        <f>ORG!$S$1</f>
        <v>Jul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Jul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Jul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10912.38615</v>
      </c>
      <c r="K1657">
        <f>'B1 - SOCNE SOCNI Movement'!H50</f>
        <v>10924.419483333333</v>
      </c>
      <c r="L1657">
        <f>'B1 - SOCNE SOCNI Movement'!I50</f>
        <v>10964.259676666667</v>
      </c>
      <c r="M1657">
        <f>'B1 - SOCNE SOCNI Movement'!J50</f>
        <v>11015.102576666666</v>
      </c>
      <c r="N1657">
        <f>'B1 - SOCNE SOCNI Movement'!K50</f>
        <v>11015.102576666666</v>
      </c>
      <c r="O1657">
        <f>'B1 - SOCNE SOCNI Movement'!L50</f>
        <v>11015.102576666666</v>
      </c>
      <c r="P1657">
        <f>'B1 - SOCNE SOCNI Movement'!M50</f>
        <v>11011.102576666666</v>
      </c>
      <c r="Q1657">
        <f>'B1 - SOCNE SOCNI Movement'!N50</f>
        <v>11001.259676666667</v>
      </c>
      <c r="R1657">
        <f>'B1 - SOCNE SOCNI Movement'!O50</f>
        <v>11133.399441666666</v>
      </c>
      <c r="S1657">
        <f>'B1 - SOCNE SOCNI Movement'!P50</f>
        <v>133390.134735</v>
      </c>
      <c r="U1657">
        <f t="shared" si="395"/>
        <v>133390.134735</v>
      </c>
    </row>
    <row r="1658" spans="1:21">
      <c r="A1658" s="2894" t="str">
        <f>ORG!$S$1</f>
        <v>Jul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8923.8516804284154</v>
      </c>
      <c r="K1658">
        <f>'B1 - SOCNE SOCNI Movement'!H51</f>
        <v>7808.1016804284154</v>
      </c>
      <c r="L1658">
        <f>'B1 - SOCNE SOCNI Movement'!I51</f>
        <v>8168.9990017049176</v>
      </c>
      <c r="M1658">
        <f>'B1 - SOCNE SOCNI Movement'!J51</f>
        <v>8668.6010789530046</v>
      </c>
      <c r="N1658">
        <f>'B1 - SOCNE SOCNI Movement'!K51</f>
        <v>8320.8436131803282</v>
      </c>
      <c r="O1658">
        <f>'B1 - SOCNE SOCNI Movement'!L51</f>
        <v>8620.0260789530057</v>
      </c>
      <c r="P1658">
        <f>'B1 - SOCNE SOCNI Movement'!M51</f>
        <v>8419.6010789530046</v>
      </c>
      <c r="Q1658">
        <f>'B1 - SOCNE SOCNI Movement'!N51</f>
        <v>8388.8734240576505</v>
      </c>
      <c r="R1658">
        <f>'B1 - SOCNE SOCNI Movement'!O51</f>
        <v>9349.8103556030055</v>
      </c>
      <c r="S1658">
        <f>'B1 - SOCNE SOCNI Movement'!P51</f>
        <v>96269.706992261737</v>
      </c>
      <c r="U1658">
        <f t="shared" si="395"/>
        <v>96269.706992261737</v>
      </c>
    </row>
    <row r="1659" spans="1:21">
      <c r="A1659" s="2894" t="str">
        <f>ORG!$S$1</f>
        <v>Jul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Jul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Jul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Jul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Jul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Jul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Jul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Jul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Jul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Jul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Jul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518.58999999999992</v>
      </c>
      <c r="L1669">
        <f>'B1 - SOCNE SOCNI Movement'!I62</f>
        <v>518.58999999999992</v>
      </c>
      <c r="M1669">
        <f>'B1 - SOCNE SOCNI Movement'!J62</f>
        <v>518.58999999999992</v>
      </c>
      <c r="N1669">
        <f>'B1 - SOCNE SOCNI Movement'!K62</f>
        <v>518.58999999999992</v>
      </c>
      <c r="O1669">
        <f>'B1 - SOCNE SOCNI Movement'!L62</f>
        <v>518.58999999999992</v>
      </c>
      <c r="P1669">
        <f>'B1 - SOCNE SOCNI Movement'!M62</f>
        <v>518.58999999999992</v>
      </c>
      <c r="Q1669">
        <f>'B1 - SOCNE SOCNI Movement'!N62</f>
        <v>518.58999999999992</v>
      </c>
      <c r="R1669">
        <f>'B1 - SOCNE SOCNI Movement'!O62</f>
        <v>518.58999999999992</v>
      </c>
      <c r="S1669">
        <f>'B1 - SOCNE SOCNI Movement'!P62</f>
        <v>6222.7210000000005</v>
      </c>
      <c r="U1669">
        <f t="shared" si="395"/>
        <v>6222.7210000000005</v>
      </c>
    </row>
    <row r="1670" spans="1:21">
      <c r="A1670" s="2894" t="str">
        <f>ORG!$S$1</f>
        <v>Jul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26.590000000000003</v>
      </c>
      <c r="L1670">
        <f>'B1 - SOCNE SOCNI Movement'!I63</f>
        <v>26.590000000000003</v>
      </c>
      <c r="M1670">
        <f>'B1 - SOCNE SOCNI Movement'!J63</f>
        <v>26.590000000000003</v>
      </c>
      <c r="N1670">
        <f>'B1 - SOCNE SOCNI Movement'!K63</f>
        <v>26.590000000000003</v>
      </c>
      <c r="O1670">
        <f>'B1 - SOCNE SOCNI Movement'!L63</f>
        <v>26.590000000000003</v>
      </c>
      <c r="P1670">
        <f>'B1 - SOCNE SOCNI Movement'!M63</f>
        <v>26.590000000000003</v>
      </c>
      <c r="Q1670">
        <f>'B1 - SOCNE SOCNI Movement'!N63</f>
        <v>26.590000000000003</v>
      </c>
      <c r="R1670">
        <f>'B1 - SOCNE SOCNI Movement'!O63</f>
        <v>26.590000000000003</v>
      </c>
      <c r="S1670">
        <f>'B1 - SOCNE SOCNI Movement'!P63</f>
        <v>318.90000000000009</v>
      </c>
      <c r="U1670">
        <f t="shared" si="395"/>
        <v>318.90000000000009</v>
      </c>
    </row>
    <row r="1671" spans="1:21">
      <c r="A1671" s="2894" t="str">
        <f>ORG!$S$1</f>
        <v>Jul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Jul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Jul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20381.417830428414</v>
      </c>
      <c r="K1673">
        <f>'B1 - SOCNE SOCNI Movement'!H66</f>
        <v>19277.701163761747</v>
      </c>
      <c r="L1673">
        <f>'B1 - SOCNE SOCNI Movement'!I66</f>
        <v>19678.438678371585</v>
      </c>
      <c r="M1673">
        <f>'B1 - SOCNE SOCNI Movement'!J66</f>
        <v>20228.883655619669</v>
      </c>
      <c r="N1673">
        <f>'B1 - SOCNE SOCNI Movement'!K66</f>
        <v>19881.126189846997</v>
      </c>
      <c r="O1673">
        <f>'B1 - SOCNE SOCNI Movement'!L66</f>
        <v>20180.308655619672</v>
      </c>
      <c r="P1673">
        <f>'B1 - SOCNE SOCNI Movement'!M66</f>
        <v>19975.883655619669</v>
      </c>
      <c r="Q1673">
        <f>'B1 - SOCNE SOCNI Movement'!N66</f>
        <v>19935.313100724317</v>
      </c>
      <c r="R1673">
        <f>'B1 - SOCNE SOCNI Movement'!O66</f>
        <v>21028.389797269672</v>
      </c>
      <c r="S1673">
        <f>'B1 - SOCNE SOCNI Movement'!P66</f>
        <v>236201.46272726177</v>
      </c>
      <c r="U1673">
        <f t="shared" si="397"/>
        <v>236201.46272726177</v>
      </c>
    </row>
    <row r="1674" spans="1:21">
      <c r="A1674" s="2894" t="str">
        <f>ORG!$S$1</f>
        <v>Jul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0</v>
      </c>
      <c r="K1674">
        <f>'B1 - SOCNE SOCNI Movement'!H67</f>
        <v>0</v>
      </c>
      <c r="L1674">
        <f>'B1 - SOCNE SOCNI Movement'!I67</f>
        <v>0</v>
      </c>
      <c r="M1674">
        <f>'B1 - SOCNE SOCNI Movement'!J67</f>
        <v>0</v>
      </c>
      <c r="N1674">
        <f>'B1 - SOCNE SOCNI Movement'!K67</f>
        <v>0</v>
      </c>
      <c r="O1674">
        <f>'B1 - SOCNE SOCNI Movement'!L67</f>
        <v>0</v>
      </c>
      <c r="P1674">
        <f>'B1 - SOCNE SOCNI Movement'!M67</f>
        <v>0</v>
      </c>
      <c r="Q1674">
        <f>'B1 - SOCNE SOCNI Movement'!N67</f>
        <v>-9.6649997431086376E-5</v>
      </c>
      <c r="R1674">
        <f>'B1 - SOCNE SOCNI Movement'!O67</f>
        <v>-63.000096650001069</v>
      </c>
      <c r="S1674">
        <f>'B1 - SOCNE SOCNI Movement'!P67</f>
        <v>-1.9329999850015156E-4</v>
      </c>
      <c r="U1674">
        <f t="shared" si="397"/>
        <v>-1.9329999850015156E-4</v>
      </c>
    </row>
    <row r="1675" spans="1:21">
      <c r="A1675" s="2894" t="str">
        <f>ORG!$S$1</f>
        <v>Jul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Jul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Jul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Jul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Jul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1958</v>
      </c>
      <c r="L1679">
        <f>'B1 - SOCNE SOCNI Movement'!I76</f>
        <v>1958</v>
      </c>
      <c r="M1679">
        <f>'B1 - SOCNE SOCNI Movement'!J76</f>
        <v>1951</v>
      </c>
      <c r="N1679">
        <f>'B1 - SOCNE SOCNI Movement'!K76</f>
        <v>1945</v>
      </c>
      <c r="O1679">
        <f>'B1 - SOCNE SOCNI Movement'!L76</f>
        <v>1945</v>
      </c>
      <c r="P1679">
        <f>'B1 - SOCNE SOCNI Movement'!M76</f>
        <v>1945</v>
      </c>
      <c r="Q1679">
        <f>'B1 - SOCNE SOCNI Movement'!N76</f>
        <v>1945</v>
      </c>
      <c r="R1679">
        <f>'B1 - SOCNE SOCNI Movement'!O76</f>
        <v>1945</v>
      </c>
      <c r="S1679">
        <f>'B1 - SOCNE SOCNI Movement'!P76</f>
        <v>23899</v>
      </c>
      <c r="U1679">
        <f t="shared" si="397"/>
        <v>23899</v>
      </c>
    </row>
    <row r="1680" spans="1:21">
      <c r="A1680" s="2894" t="str">
        <f>ORG!$S$1</f>
        <v>Jul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18</v>
      </c>
      <c r="L1680">
        <f>'B1 - SOCNE SOCNI Movement'!I77</f>
        <v>18</v>
      </c>
      <c r="M1680">
        <f>'B1 - SOCNE SOCNI Movement'!J77</f>
        <v>18</v>
      </c>
      <c r="N1680">
        <f>'B1 - SOCNE SOCNI Movement'!K77</f>
        <v>18</v>
      </c>
      <c r="O1680">
        <f>'B1 - SOCNE SOCNI Movement'!L77</f>
        <v>18</v>
      </c>
      <c r="P1680">
        <f>'B1 - SOCNE SOCNI Movement'!M77</f>
        <v>18</v>
      </c>
      <c r="Q1680">
        <f>'B1 - SOCNE SOCNI Movement'!N77</f>
        <v>18</v>
      </c>
      <c r="R1680">
        <f>'B1 - SOCNE SOCNI Movement'!O77</f>
        <v>18</v>
      </c>
      <c r="S1680">
        <f>'B1 - SOCNE SOCNI Movement'!P77</f>
        <v>221</v>
      </c>
      <c r="U1680">
        <f t="shared" si="397"/>
        <v>221</v>
      </c>
    </row>
    <row r="1681" spans="1:21">
      <c r="A1681" s="2894" t="str">
        <f>ORG!$S$1</f>
        <v>Jul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16919.13026876175</v>
      </c>
      <c r="L1681">
        <f>'B1 - SOCNE SOCNI Movement'!I78</f>
        <v>17090.865593371585</v>
      </c>
      <c r="M1681">
        <f>'B1 - SOCNE SOCNI Movement'!J78</f>
        <v>17692.233070619674</v>
      </c>
      <c r="N1681">
        <f>'B1 - SOCNE SOCNI Movement'!K78</f>
        <v>17424.474604846997</v>
      </c>
      <c r="O1681">
        <f>'B1 - SOCNE SOCNI Movement'!L78</f>
        <v>17804.470570619673</v>
      </c>
      <c r="P1681">
        <f>'B1 - SOCNE SOCNI Movement'!M78</f>
        <v>17495.740070619671</v>
      </c>
      <c r="Q1681">
        <f>'B1 - SOCNE SOCNI Movement'!N78</f>
        <v>17472.085239074317</v>
      </c>
      <c r="R1681">
        <f>'B1 - SOCNE SOCNI Movement'!O78</f>
        <v>21903.446495619672</v>
      </c>
      <c r="S1681">
        <f>'B1 - SOCNE SOCNI Movement'!P78</f>
        <v>209651.44591353333</v>
      </c>
      <c r="U1681">
        <f t="shared" si="397"/>
        <v>209651.44591353333</v>
      </c>
    </row>
    <row r="1682" spans="1:21">
      <c r="A1682" s="2894" t="str">
        <f>ORG!$S$1</f>
        <v>Jul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457.09100000000001</v>
      </c>
      <c r="L1682">
        <f>'B1 - SOCNE SOCNI Movement'!I79</f>
        <v>419.49799999999999</v>
      </c>
      <c r="M1682">
        <f>'B1 - SOCNE SOCNI Movement'!J79</f>
        <v>417.58699999999999</v>
      </c>
      <c r="N1682">
        <f>'B1 - SOCNE SOCNI Movement'!K79</f>
        <v>417.58600000000001</v>
      </c>
      <c r="O1682">
        <f>'B1 - SOCNE SOCNI Movement'!L79</f>
        <v>417.59199999999998</v>
      </c>
      <c r="P1682">
        <f>'B1 - SOCNE SOCNI Movement'!M79</f>
        <v>415.59199999999998</v>
      </c>
      <c r="Q1682">
        <f>'B1 - SOCNE SOCNI Movement'!N79</f>
        <v>413.09100000000001</v>
      </c>
      <c r="R1682">
        <f>'B1 - SOCNE SOCNI Movement'!O79</f>
        <v>412.77100000000002</v>
      </c>
      <c r="S1682">
        <f>'B1 - SOCNE SOCNI Movement'!P79</f>
        <v>5672.8079999999991</v>
      </c>
      <c r="U1682">
        <f t="shared" si="397"/>
        <v>5672.8079999999991</v>
      </c>
    </row>
    <row r="1683" spans="1:21">
      <c r="A1683" s="2894" t="str">
        <f>ORG!$S$1</f>
        <v>Jul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19352.22126876175</v>
      </c>
      <c r="L1683">
        <f>'B1 - SOCNE SOCNI Movement'!I80</f>
        <v>19486.363593371585</v>
      </c>
      <c r="M1683">
        <f>'B1 - SOCNE SOCNI Movement'!J80</f>
        <v>20078.820070619673</v>
      </c>
      <c r="N1683">
        <f>'B1 - SOCNE SOCNI Movement'!K80</f>
        <v>19805.060604846996</v>
      </c>
      <c r="O1683">
        <f>'B1 - SOCNE SOCNI Movement'!L80</f>
        <v>20185.062570619673</v>
      </c>
      <c r="P1683">
        <f>'B1 - SOCNE SOCNI Movement'!M80</f>
        <v>19874.332070619672</v>
      </c>
      <c r="Q1683">
        <f>'B1 - SOCNE SOCNI Movement'!N80</f>
        <v>19848.176239074317</v>
      </c>
      <c r="R1683">
        <f>'B1 - SOCNE SOCNI Movement'!O80</f>
        <v>24279.217495619672</v>
      </c>
      <c r="S1683">
        <f>'B1 - SOCNE SOCNI Movement'!P80</f>
        <v>239444.25391353335</v>
      </c>
      <c r="U1683">
        <f t="shared" si="397"/>
        <v>239444.25391353335</v>
      </c>
    </row>
    <row r="1684" spans="1:21">
      <c r="A1684" s="2894" t="str">
        <f>ORG!$S$1</f>
        <v>Jul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Jul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Jul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10913.532233333333</v>
      </c>
      <c r="L1686">
        <f>'B1 - SOCNE SOCNI Movement'!I83</f>
        <v>10993.259676666667</v>
      </c>
      <c r="M1686">
        <f>'B1 - SOCNE SOCNI Movement'!J83</f>
        <v>11098.102576666666</v>
      </c>
      <c r="N1686">
        <f>'B1 - SOCNE SOCNI Movement'!K83</f>
        <v>11108.102576666666</v>
      </c>
      <c r="O1686">
        <f>'B1 - SOCNE SOCNI Movement'!L83</f>
        <v>11113.102576666666</v>
      </c>
      <c r="P1686">
        <f>'B1 - SOCNE SOCNI Movement'!M83</f>
        <v>11108.102576666666</v>
      </c>
      <c r="Q1686">
        <f>'B1 - SOCNE SOCNI Movement'!N83</f>
        <v>11100.259676666667</v>
      </c>
      <c r="R1686">
        <f>'B1 - SOCNE SOCNI Movement'!O83</f>
        <v>11461.399441666666</v>
      </c>
      <c r="S1686">
        <f>'B1 - SOCNE SOCNI Movement'!P83</f>
        <v>135642.86133500002</v>
      </c>
      <c r="U1686">
        <f t="shared" si="397"/>
        <v>135642.86133500002</v>
      </c>
    </row>
    <row r="1687" spans="1:21">
      <c r="A1687" s="2894" t="str">
        <f>ORG!$S$1</f>
        <v>Jul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7893.5970354284145</v>
      </c>
      <c r="L1687">
        <f>'B1 - SOCNE SOCNI Movement'!I84</f>
        <v>7947.5409167049183</v>
      </c>
      <c r="M1687">
        <f>'B1 - SOCNE SOCNI Movement'!J84</f>
        <v>8435.4554939530062</v>
      </c>
      <c r="N1687">
        <f>'B1 - SOCNE SOCNI Movement'!K84</f>
        <v>8151.698028180328</v>
      </c>
      <c r="O1687">
        <f>'B1 - SOCNE SOCNI Movement'!L84</f>
        <v>8526.6929939530055</v>
      </c>
      <c r="P1687">
        <f>'B1 - SOCNE SOCNI Movement'!M84</f>
        <v>8220.9554939530062</v>
      </c>
      <c r="Q1687">
        <f>'B1 - SOCNE SOCNI Movement'!N84</f>
        <v>8202.8025624076508</v>
      </c>
      <c r="R1687">
        <f>'B1 - SOCNE SOCNI Movement'!O84</f>
        <v>12430.559053953006</v>
      </c>
      <c r="S1687">
        <f>'B1 - SOCNE SOCNI Movement'!P84</f>
        <v>97259.83057853335</v>
      </c>
      <c r="U1687">
        <f t="shared" si="397"/>
        <v>97259.83057853335</v>
      </c>
    </row>
    <row r="1688" spans="1:21">
      <c r="A1688" s="2894" t="str">
        <f>ORG!$S$1</f>
        <v>Jul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Jul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Jul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Jul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Jul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Jul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Jul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Jul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Jul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Jul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Jul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518.58999999999992</v>
      </c>
      <c r="L1698">
        <f>'B1 - SOCNE SOCNI Movement'!I95</f>
        <v>518.58999999999992</v>
      </c>
      <c r="M1698">
        <f>'B1 - SOCNE SOCNI Movement'!J95</f>
        <v>518.58999999999992</v>
      </c>
      <c r="N1698">
        <f>'B1 - SOCNE SOCNI Movement'!K95</f>
        <v>518.58999999999992</v>
      </c>
      <c r="O1698">
        <f>'B1 - SOCNE SOCNI Movement'!L95</f>
        <v>518.58999999999992</v>
      </c>
      <c r="P1698">
        <f>'B1 - SOCNE SOCNI Movement'!M95</f>
        <v>518.58999999999992</v>
      </c>
      <c r="Q1698">
        <f>'B1 - SOCNE SOCNI Movement'!N95</f>
        <v>518.58999999999992</v>
      </c>
      <c r="R1698">
        <f>'B1 - SOCNE SOCNI Movement'!O95</f>
        <v>518.58999999999992</v>
      </c>
      <c r="S1698">
        <f>'B1 - SOCNE SOCNI Movement'!P95</f>
        <v>6222.8810000000012</v>
      </c>
      <c r="U1698">
        <f t="shared" si="397"/>
        <v>6222.8810000000012</v>
      </c>
    </row>
    <row r="1699" spans="1:21">
      <c r="A1699" s="2894" t="str">
        <f>ORG!$S$1</f>
        <v>Jul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26.590000000000003</v>
      </c>
      <c r="L1699">
        <f>'B1 - SOCNE SOCNI Movement'!I96</f>
        <v>26.590000000000003</v>
      </c>
      <c r="M1699">
        <f>'B1 - SOCNE SOCNI Movement'!J96</f>
        <v>26.590000000000003</v>
      </c>
      <c r="N1699">
        <f>'B1 - SOCNE SOCNI Movement'!K96</f>
        <v>26.590000000000003</v>
      </c>
      <c r="O1699">
        <f>'B1 - SOCNE SOCNI Movement'!L96</f>
        <v>26.590000000000003</v>
      </c>
      <c r="P1699">
        <f>'B1 - SOCNE SOCNI Movement'!M96</f>
        <v>26.590000000000003</v>
      </c>
      <c r="Q1699">
        <f>'B1 - SOCNE SOCNI Movement'!N96</f>
        <v>26.590000000000003</v>
      </c>
      <c r="R1699">
        <f>'B1 - SOCNE SOCNI Movement'!O96</f>
        <v>26.590000000000003</v>
      </c>
      <c r="S1699">
        <f>'B1 - SOCNE SOCNI Movement'!P96</f>
        <v>319.03000000000009</v>
      </c>
      <c r="U1699">
        <f t="shared" si="397"/>
        <v>319.03000000000009</v>
      </c>
    </row>
    <row r="1700" spans="1:21">
      <c r="A1700" s="2894" t="str">
        <f>ORG!$S$1</f>
        <v>Jul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Jul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Jul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19352.309268761746</v>
      </c>
      <c r="L1702">
        <f>'B1 - SOCNE SOCNI Movement'!I99</f>
        <v>19485.980593371583</v>
      </c>
      <c r="M1702">
        <f>'B1 - SOCNE SOCNI Movement'!J99</f>
        <v>20078.738070619671</v>
      </c>
      <c r="N1702">
        <f>'B1 - SOCNE SOCNI Movement'!K99</f>
        <v>19804.980604846995</v>
      </c>
      <c r="O1702">
        <f>'B1 - SOCNE SOCNI Movement'!L99</f>
        <v>20184.975570619674</v>
      </c>
      <c r="P1702">
        <f>'B1 - SOCNE SOCNI Movement'!M99</f>
        <v>19874.238070619671</v>
      </c>
      <c r="Q1702">
        <f>'B1 - SOCNE SOCNI Movement'!N99</f>
        <v>19848.242239074316</v>
      </c>
      <c r="R1702">
        <f>'B1 - SOCNE SOCNI Movement'!O99</f>
        <v>24437.138495619671</v>
      </c>
      <c r="S1702">
        <f>'B1 - SOCNE SOCNI Movement'!P99</f>
        <v>239444.60291353334</v>
      </c>
      <c r="U1702">
        <f t="shared" si="397"/>
        <v>239444.60291353334</v>
      </c>
    </row>
    <row r="1703" spans="1:21">
      <c r="A1703" s="2894" t="str">
        <f>ORG!$S$1</f>
        <v>Jul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-8.7999999996100087E-2</v>
      </c>
      <c r="L1703">
        <f>'B1 - SOCNE SOCNI Movement'!I100</f>
        <v>0.38300000000162981</v>
      </c>
      <c r="M1703">
        <f>'B1 - SOCNE SOCNI Movement'!J100</f>
        <v>8.2000000002153683E-2</v>
      </c>
      <c r="N1703">
        <f>'B1 - SOCNE SOCNI Movement'!K100</f>
        <v>8.000000000174623E-2</v>
      </c>
      <c r="O1703">
        <f>'B1 - SOCNE SOCNI Movement'!L100</f>
        <v>8.6999999999534339E-2</v>
      </c>
      <c r="P1703">
        <f>'B1 - SOCNE SOCNI Movement'!M100</f>
        <v>9.4000000000960426E-2</v>
      </c>
      <c r="Q1703">
        <f>'B1 - SOCNE SOCNI Movement'!N100</f>
        <v>-6.5999999998894054E-2</v>
      </c>
      <c r="R1703">
        <f>'B1 - SOCNE SOCNI Movement'!O100</f>
        <v>-157.92099999999846</v>
      </c>
      <c r="S1703">
        <f>'B1 - SOCNE SOCNI Movement'!P100</f>
        <v>-0.34899999998742715</v>
      </c>
      <c r="U1703">
        <f t="shared" si="397"/>
        <v>-0.34899999998742715</v>
      </c>
    </row>
    <row r="1704" spans="1:21">
      <c r="A1704" s="2894" t="str">
        <f>ORG!$S$1</f>
        <v>Jul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Jul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Jul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Jul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Jul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59</v>
      </c>
      <c r="U1708">
        <f t="shared" si="397"/>
        <v>59</v>
      </c>
    </row>
    <row r="1709" spans="1:21">
      <c r="A1709" s="2894" t="str">
        <f>ORG!$S$1</f>
        <v>Jul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59</v>
      </c>
      <c r="F1709" t="str">
        <f>'B1 - SOCNE SOCNI Movement'!C13</f>
        <v>WHSSC Income</v>
      </c>
      <c r="S1709">
        <f>'B1 - SOCNE SOCNI Movement'!S13</f>
        <v>11</v>
      </c>
      <c r="U1709">
        <f t="shared" si="397"/>
        <v>11</v>
      </c>
    </row>
    <row r="1710" spans="1:21">
      <c r="A1710" s="2894" t="str">
        <f>ORG!$S$1</f>
        <v>Jul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11</v>
      </c>
      <c r="F1710" t="str">
        <f>'B1 - SOCNE SOCNI Movement'!C14</f>
        <v>Welsh Government Income (Non RRL)</v>
      </c>
      <c r="S1710">
        <f>'B1 - SOCNE SOCNI Movement'!S14</f>
        <v>1761</v>
      </c>
      <c r="U1710">
        <f t="shared" si="397"/>
        <v>1761</v>
      </c>
    </row>
    <row r="1711" spans="1:21">
      <c r="A1711" s="2894" t="str">
        <f>ORG!$S$1</f>
        <v>Jul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1761</v>
      </c>
      <c r="F1711" t="str">
        <f>'B1 - SOCNE SOCNI Movement'!C15</f>
        <v>Other Income</v>
      </c>
      <c r="S1711">
        <f>'B1 - SOCNE SOCNI Movement'!S15</f>
        <v>24</v>
      </c>
      <c r="U1711">
        <f t="shared" si="397"/>
        <v>24</v>
      </c>
    </row>
    <row r="1712" spans="1:21">
      <c r="A1712" s="2894" t="str">
        <f>ORG!$S$1</f>
        <v>Jul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24</v>
      </c>
      <c r="F1712" t="str">
        <f>'B1 - SOCNE SOCNI Movement'!C16</f>
        <v>Total Income</v>
      </c>
      <c r="S1712">
        <f>'B1 - SOCNE SOCNI Movement'!S16</f>
        <v>1855</v>
      </c>
      <c r="U1712">
        <f t="shared" si="397"/>
        <v>1855</v>
      </c>
    </row>
    <row r="1713" spans="1:21">
      <c r="A1713" s="2894" t="str">
        <f>ORG!$S$1</f>
        <v>Jul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1855</v>
      </c>
      <c r="F1713" t="str">
        <f>'B1 - SOCNE SOCNI Movement'!C17</f>
        <v>Primary Care Contractor (excl. drugs, incl. NRL expenditure)</v>
      </c>
      <c r="S1713">
        <f>'B1 - SOCNE SOCNI Movement'!S17</f>
        <v>0</v>
      </c>
      <c r="U1713">
        <f t="shared" si="397"/>
        <v>0</v>
      </c>
    </row>
    <row r="1714" spans="1:21">
      <c r="A1714" s="2894" t="str">
        <f>ORG!$S$1</f>
        <v>Jul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Jul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-1341</v>
      </c>
      <c r="U1715">
        <f t="shared" si="397"/>
        <v>-1341</v>
      </c>
    </row>
    <row r="1716" spans="1:21">
      <c r="A1716" s="2894" t="str">
        <f>ORG!$S$1</f>
        <v>Jul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-1341</v>
      </c>
      <c r="F1716" t="str">
        <f>'B1 - SOCNE SOCNI Movement'!C20</f>
        <v>Provider Services - Non Pay (excluding drugs &amp; depreciation)</v>
      </c>
      <c r="S1716">
        <f>'B1 - SOCNE SOCNI Movement'!S20</f>
        <v>3113</v>
      </c>
      <c r="U1716">
        <f t="shared" si="397"/>
        <v>3113</v>
      </c>
    </row>
    <row r="1717" spans="1:21">
      <c r="A1717" s="2894" t="str">
        <f>ORG!$S$1</f>
        <v>Jul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3113</v>
      </c>
      <c r="F1717" t="str">
        <f>'B1 - SOCNE SOCNI Movement'!C21</f>
        <v>Secondary Care - Drugs</v>
      </c>
      <c r="S1717">
        <f>'B1 - SOCNE SOCNI Movement'!S21</f>
        <v>0</v>
      </c>
      <c r="U1717">
        <f t="shared" si="397"/>
        <v>0</v>
      </c>
    </row>
    <row r="1718" spans="1:21">
      <c r="A1718" s="2894" t="str">
        <f>ORG!$S$1</f>
        <v>Jul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Jul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Jul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Jul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Jul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Jul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Jul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Jul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Jul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Jul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v>
      </c>
      <c r="U1727">
        <f t="shared" si="397"/>
        <v>0</v>
      </c>
    </row>
    <row r="1728" spans="1:21">
      <c r="A1728" s="2894" t="str">
        <f>ORG!$S$1</f>
        <v>Jul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0</v>
      </c>
      <c r="F1728" t="str">
        <f>'B1 - SOCNE SOCNI Movement'!C32</f>
        <v>AME Donated Depreciation\Impairments</v>
      </c>
      <c r="S1728">
        <f>'B1 - SOCNE SOCNI Movement'!S32</f>
        <v>0</v>
      </c>
      <c r="U1728">
        <f t="shared" si="397"/>
        <v>0</v>
      </c>
    </row>
    <row r="1729" spans="1:21">
      <c r="A1729" s="2894" t="str">
        <f>ORG!$S$1</f>
        <v>Jul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Jul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Jul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1772</v>
      </c>
      <c r="U1731">
        <f t="shared" ref="U1731:U1786" si="398">S1731+T1731</f>
        <v>1772</v>
      </c>
    </row>
    <row r="1732" spans="1:21">
      <c r="A1732" s="2894" t="str">
        <f>ORG!$S$1</f>
        <v>Jul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1772</v>
      </c>
      <c r="F1732" t="str">
        <f>'B1 - SOCNE SOCNI Movement'!C36</f>
        <v>Forecast Outturn</v>
      </c>
      <c r="S1732">
        <f>'B1 - SOCNE SOCNI Movement'!S36</f>
        <v>83</v>
      </c>
      <c r="U1732">
        <f t="shared" si="398"/>
        <v>83</v>
      </c>
    </row>
    <row r="1733" spans="1:21">
      <c r="A1733" s="2894" t="str">
        <f>ORG!$S$1</f>
        <v>Jul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83</v>
      </c>
      <c r="F1733" t="str">
        <f>'B1 - SOCNE SOCNI Movement'!C10</f>
        <v>Revenue Resource Limit</v>
      </c>
      <c r="S1733">
        <f>'B1 - SOCNE SOCNI Movement'!T10</f>
        <v>0</v>
      </c>
      <c r="U1733">
        <f t="shared" si="398"/>
        <v>0</v>
      </c>
    </row>
    <row r="1734" spans="1:21">
      <c r="A1734" s="2894" t="str">
        <f>ORG!$S$1</f>
        <v>Jul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Jul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324</v>
      </c>
      <c r="U1735">
        <f t="shared" si="398"/>
        <v>324</v>
      </c>
    </row>
    <row r="1736" spans="1:21">
      <c r="A1736" s="2894" t="str">
        <f>ORG!$S$1</f>
        <v>Jul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27</v>
      </c>
      <c r="U1736">
        <f t="shared" si="398"/>
        <v>27</v>
      </c>
    </row>
    <row r="1737" spans="1:21">
      <c r="A1737" s="2894" t="str">
        <f>ORG!$S$1</f>
        <v>Jul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-178.74983042841268</v>
      </c>
      <c r="U1737">
        <f t="shared" si="398"/>
        <v>-178.74983042841268</v>
      </c>
    </row>
    <row r="1738" spans="1:21">
      <c r="A1738" s="2894" t="str">
        <f>ORG!$S$1</f>
        <v>Jul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284.33199999999999</v>
      </c>
      <c r="U1738">
        <f t="shared" si="398"/>
        <v>284.33199999999999</v>
      </c>
    </row>
    <row r="1739" spans="1:21">
      <c r="A1739" s="2894" t="str">
        <f>ORG!$S$1</f>
        <v>Jul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456.58216957158584</v>
      </c>
      <c r="U1739">
        <f t="shared" si="398"/>
        <v>456.58216957158584</v>
      </c>
    </row>
    <row r="1740" spans="1:21">
      <c r="A1740" s="2894" t="str">
        <f>ORG!$S$1</f>
        <v>Jul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Jul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Jul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1436.6138499999997</v>
      </c>
      <c r="U1742">
        <f t="shared" si="398"/>
        <v>1436.6138499999997</v>
      </c>
    </row>
    <row r="1743" spans="1:21">
      <c r="A1743" s="2894" t="str">
        <f>ORG!$S$1</f>
        <v>Jul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-1074.0316804284148</v>
      </c>
      <c r="U1743">
        <f t="shared" si="398"/>
        <v>-1074.0316804284148</v>
      </c>
    </row>
    <row r="1744" spans="1:21">
      <c r="A1744" s="2894" t="str">
        <f>ORG!$S$1</f>
        <v>Jul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Jul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Jul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Jul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Jul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Jul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Jul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Jul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Jul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Jul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Jul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v>
      </c>
      <c r="U1754">
        <f t="shared" si="398"/>
        <v>0</v>
      </c>
    </row>
    <row r="1755" spans="1:21">
      <c r="A1755" s="2894" t="str">
        <f>ORG!$S$1</f>
        <v>Jul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4" t="str">
        <f>ORG!$S$1</f>
        <v>Jul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Jul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Jul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362.58216957158584</v>
      </c>
      <c r="U1758">
        <f t="shared" si="398"/>
        <v>362.58216957158584</v>
      </c>
    </row>
    <row r="1759" spans="1:21">
      <c r="A1759" s="2894" t="str">
        <f>ORG!$S$1</f>
        <v>Jul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94</v>
      </c>
      <c r="U1759">
        <f t="shared" si="398"/>
        <v>94</v>
      </c>
    </row>
    <row r="1760" spans="1:21">
      <c r="A1760" s="2894" t="str">
        <f>ORG!$S$1</f>
        <v>Jul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Jul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Jul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485</v>
      </c>
      <c r="U1762">
        <f t="shared" si="398"/>
        <v>485</v>
      </c>
    </row>
    <row r="1763" spans="1:21">
      <c r="A1763" s="2894" t="str">
        <f>ORG!$S$1</f>
        <v>Jul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171</v>
      </c>
      <c r="U1763">
        <f t="shared" si="398"/>
        <v>171</v>
      </c>
    </row>
    <row r="1764" spans="1:21">
      <c r="A1764" s="2894" t="str">
        <f>ORG!$S$1</f>
        <v>Jul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1990.9813795715745</v>
      </c>
      <c r="U1764">
        <f t="shared" si="398"/>
        <v>1990.9813795715745</v>
      </c>
    </row>
    <row r="1765" spans="1:21">
      <c r="A1765" s="2894" t="str">
        <f>ORG!$S$1</f>
        <v>Jul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595.80999999999949</v>
      </c>
      <c r="U1765">
        <f t="shared" si="398"/>
        <v>595.80999999999949</v>
      </c>
    </row>
    <row r="1766" spans="1:21">
      <c r="A1766" s="2894" t="str">
        <f>ORG!$S$1</f>
        <v>Jul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3242.7913795715722</v>
      </c>
      <c r="U1766">
        <f t="shared" si="398"/>
        <v>3242.7913795715722</v>
      </c>
    </row>
    <row r="1767" spans="1:21">
      <c r="A1767" s="2894" t="str">
        <f>ORG!$S$1</f>
        <v>Jul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Jul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Jul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2252.7266000000236</v>
      </c>
      <c r="U1769">
        <f t="shared" si="398"/>
        <v>2252.7266000000236</v>
      </c>
    </row>
    <row r="1770" spans="1:21">
      <c r="A1770" s="2894" t="str">
        <f>ORG!$S$1</f>
        <v>Jul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990.12358627161302</v>
      </c>
      <c r="U1770">
        <f t="shared" si="398"/>
        <v>990.12358627161302</v>
      </c>
    </row>
    <row r="1771" spans="1:21">
      <c r="A1771" s="2894" t="str">
        <f>ORG!$S$1</f>
        <v>Jul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Jul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Jul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Jul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Jul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Jul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Jul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Jul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Jul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Jul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Jul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0.16000000000076398</v>
      </c>
      <c r="U1781">
        <f t="shared" si="398"/>
        <v>0.16000000000076398</v>
      </c>
    </row>
    <row r="1782" spans="1:21">
      <c r="A1782" s="2894" t="str">
        <f>ORG!$S$1</f>
        <v>Jul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0.12999999999999545</v>
      </c>
      <c r="U1782">
        <f t="shared" si="398"/>
        <v>0.12999999999999545</v>
      </c>
    </row>
    <row r="1783" spans="1:21">
      <c r="A1783" s="2894" t="str">
        <f>ORG!$S$1</f>
        <v>Jul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Jul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Jul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3243.140186271572</v>
      </c>
      <c r="U1785">
        <f t="shared" si="398"/>
        <v>3243.140186271572</v>
      </c>
    </row>
    <row r="1786" spans="1:21">
      <c r="A1786" s="2894" t="str">
        <f>ORG!$S$1</f>
        <v>Jul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-0.34880669998892699</v>
      </c>
      <c r="U1786">
        <f t="shared" si="398"/>
        <v>-0.34880669998892699</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C67" sqref="C67"/>
    </sheetView>
  </sheetViews>
  <sheetFormatPr defaultColWidth="8.81640625" defaultRowHeight="15"/>
  <cols>
    <col min="1" max="1" width="5.1796875" customWidth="1"/>
    <col min="2" max="2" width="70.08984375" customWidth="1"/>
    <col min="6" max="6" width="2.453125" style="414" customWidth="1"/>
    <col min="10" max="10" width="2.81640625" style="759" customWidth="1"/>
    <col min="11" max="11" width="0" style="759" hidden="1" customWidth="1"/>
    <col min="12" max="12" width="8.81640625" style="759"/>
    <col min="13" max="13" width="54.81640625" style="753" customWidth="1"/>
    <col min="14" max="14" width="70.453125" customWidth="1"/>
  </cols>
  <sheetData>
    <row r="1" spans="1:40" ht="30">
      <c r="A1" s="79" t="str">
        <f>+Summary!A1</f>
        <v>Public Health Wales Trust</v>
      </c>
      <c r="B1" s="71"/>
      <c r="C1" s="71"/>
      <c r="D1" s="71"/>
      <c r="E1" s="71"/>
      <c r="F1" s="323"/>
      <c r="G1" s="71"/>
      <c r="H1" s="70" t="s">
        <v>80</v>
      </c>
      <c r="I1" s="140" t="str">
        <f>+Summary!H1</f>
        <v>Jul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6">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6">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6">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7.399999999999999">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2"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2" thickBot="1">
      <c r="A7" s="71"/>
      <c r="B7" s="150" t="s">
        <v>366</v>
      </c>
      <c r="C7" s="30">
        <v>1809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2" thickBot="1">
      <c r="A8" s="71"/>
      <c r="B8" s="150" t="s">
        <v>831</v>
      </c>
      <c r="C8" s="37">
        <v>45071</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2"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6">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2"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6">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ht="15.6">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6">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2"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1447</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1448</v>
      </c>
      <c r="C20" s="27">
        <v>15.6671</v>
      </c>
      <c r="D20" s="27">
        <v>15.6671</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1450</v>
      </c>
      <c r="C21" s="27">
        <v>0</v>
      </c>
      <c r="D21" s="27">
        <v>0</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1451</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1449</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0">
        <f t="shared" si="4"/>
        <v>0</v>
      </c>
      <c r="K28" s="1870"/>
      <c r="L28" s="2472">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15.6671</v>
      </c>
      <c r="D60" s="117">
        <f t="shared" si="6"/>
        <v>15.6671</v>
      </c>
      <c r="E60" s="117">
        <f t="shared" si="6"/>
        <v>0</v>
      </c>
      <c r="F60" s="398">
        <f t="shared" si="6"/>
        <v>0</v>
      </c>
      <c r="G60" s="117">
        <f t="shared" si="6"/>
        <v>576</v>
      </c>
      <c r="H60" s="117">
        <f t="shared" si="6"/>
        <v>576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6">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501.13637</v>
      </c>
      <c r="H64" s="27">
        <v>501.13634000000002</v>
      </c>
      <c r="I64" s="397">
        <f>+H64-G64</f>
        <v>-2.99999999811007E-5</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0</v>
      </c>
      <c r="D65" s="27">
        <v>0</v>
      </c>
      <c r="E65" s="397">
        <f>+D65-C65</f>
        <v>0</v>
      </c>
      <c r="F65" s="323"/>
      <c r="G65" s="27">
        <v>127.13217999999999</v>
      </c>
      <c r="H65" s="27">
        <v>127.13217999999999</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11.16</v>
      </c>
      <c r="D67" s="27">
        <v>11.16</v>
      </c>
      <c r="E67" s="397">
        <f>+D67-C67</f>
        <v>0</v>
      </c>
      <c r="F67" s="323"/>
      <c r="G67" s="27">
        <v>227.19800000000001</v>
      </c>
      <c r="H67" s="27">
        <v>227.19800000000001</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377.53300000000002</v>
      </c>
      <c r="H68" s="28">
        <v>377.53300000000002</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16.580940000000002</v>
      </c>
      <c r="D69" s="117">
        <f>SUM(D64:D68)</f>
        <v>16.580940000000002</v>
      </c>
      <c r="E69" s="117">
        <f>SUM(E64:E68)</f>
        <v>0</v>
      </c>
      <c r="F69" s="323"/>
      <c r="G69" s="117">
        <f>SUM(G64:G68)</f>
        <v>1232.99955</v>
      </c>
      <c r="H69" s="117">
        <f>SUM(H64:H68)</f>
        <v>1232.9995199999998</v>
      </c>
      <c r="I69" s="117">
        <f>SUM(I64:I68)</f>
        <v>-2.99999999811007E-5</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6">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2"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32.248040000000003</v>
      </c>
      <c r="D95" s="117">
        <f>+D60+D69+D93</f>
        <v>32.248040000000003</v>
      </c>
      <c r="E95" s="117">
        <f>IF(C95&lt;&gt;"",D95-C95,"")</f>
        <v>0</v>
      </c>
      <c r="F95" s="323"/>
      <c r="G95" s="117">
        <f>+G60+G69+G93</f>
        <v>1808.99955</v>
      </c>
      <c r="H95" s="117">
        <f>+H60+H69+H93</f>
        <v>1808.9995199999998</v>
      </c>
      <c r="I95" s="117">
        <f>IF(G95&lt;&gt;"",H95-G95,"")</f>
        <v>-3.0000000151630957E-5</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ht="15.6">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2"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2"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2"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2"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7</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32.248040000000003</v>
      </c>
      <c r="D129" s="117">
        <f>+D95-SUM(D106+D110+D124)+D126</f>
        <v>32.248040000000003</v>
      </c>
      <c r="E129" s="117">
        <f>+E95-SUM(E106+E110+E124)+E126</f>
        <v>0</v>
      </c>
      <c r="F129" s="323"/>
      <c r="G129" s="117">
        <f>+G95-SUM(G106+G110+G124)+G126</f>
        <v>1808.99955</v>
      </c>
      <c r="H129" s="117">
        <f>+H95-SUM(H106+H110+H124)+H126</f>
        <v>1808.9995199999998</v>
      </c>
      <c r="I129" s="117">
        <f>+I95-SUM(I106+I110+I124)+I126</f>
        <v>-3.0000000151630957E-5</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2"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-1776.7519600000001</v>
      </c>
      <c r="E131" s="358"/>
      <c r="F131" s="323"/>
      <c r="G131" s="358"/>
      <c r="H131" s="117">
        <f>+H129-C7</f>
        <v>-4.8000000015235855E-4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F78" sqref="F78"/>
    </sheetView>
  </sheetViews>
  <sheetFormatPr defaultColWidth="8.81640625" defaultRowHeight="15"/>
  <cols>
    <col min="1" max="1" width="5.81640625" customWidth="1"/>
    <col min="2" max="2" width="46.54296875" bestFit="1" customWidth="1"/>
    <col min="3" max="3" width="16" customWidth="1"/>
    <col min="21" max="24" width="8.81640625" style="759"/>
    <col min="25" max="25" width="60.08984375" customWidth="1"/>
    <col min="26" max="26" width="91.816406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Jul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6">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6">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6">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6">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7.399999999999999">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5.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0</v>
      </c>
      <c r="K7" s="1124">
        <f>IF(K6&lt;=VLOOKUP(Summary!$H$1,Summary!$V$1:$W$12,2,FALSE),1,0)</f>
        <v>0</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6">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2"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6">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2"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1447</v>
      </c>
      <c r="C12" s="575" t="s">
        <v>1457</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1448</v>
      </c>
      <c r="C13" s="576" t="s">
        <v>1452</v>
      </c>
      <c r="D13" s="27">
        <v>50</v>
      </c>
      <c r="E13" s="27">
        <v>50</v>
      </c>
      <c r="F13" s="27">
        <v>2.8710200000000001</v>
      </c>
      <c r="G13" s="27">
        <v>4.2888400000000004</v>
      </c>
      <c r="H13" s="27">
        <v>5.09192</v>
      </c>
      <c r="I13" s="27">
        <v>3.4153200000000004</v>
      </c>
      <c r="J13" s="27">
        <v>2.9750000000000001</v>
      </c>
      <c r="K13" s="27">
        <v>5</v>
      </c>
      <c r="L13" s="27">
        <v>5</v>
      </c>
      <c r="M13" s="27">
        <v>5</v>
      </c>
      <c r="N13" s="27">
        <v>5</v>
      </c>
      <c r="O13" s="27">
        <v>5</v>
      </c>
      <c r="P13" s="27">
        <v>6</v>
      </c>
      <c r="Q13" s="27">
        <v>0</v>
      </c>
      <c r="R13" s="196">
        <f t="shared" ref="R13:R43" si="4">SUMPRODUCT($F$7:$Q$7,F13:Q13)</f>
        <v>15.667100000000001</v>
      </c>
      <c r="S13" s="196">
        <f t="shared" si="1"/>
        <v>49.642099999999999</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1450</v>
      </c>
      <c r="C14" s="576" t="s">
        <v>1453</v>
      </c>
      <c r="D14" s="27">
        <v>186</v>
      </c>
      <c r="E14" s="27">
        <v>186</v>
      </c>
      <c r="F14" s="27">
        <v>0</v>
      </c>
      <c r="G14" s="27">
        <v>0</v>
      </c>
      <c r="H14" s="27">
        <v>0</v>
      </c>
      <c r="I14" s="27">
        <v>0</v>
      </c>
      <c r="J14" s="27">
        <v>0</v>
      </c>
      <c r="K14" s="27">
        <v>0</v>
      </c>
      <c r="L14" s="27">
        <v>31</v>
      </c>
      <c r="M14" s="27">
        <v>31</v>
      </c>
      <c r="N14" s="27">
        <v>31</v>
      </c>
      <c r="O14" s="27">
        <v>31</v>
      </c>
      <c r="P14" s="27">
        <v>31</v>
      </c>
      <c r="Q14" s="27">
        <v>31</v>
      </c>
      <c r="R14" s="196">
        <f t="shared" si="4"/>
        <v>0</v>
      </c>
      <c r="S14" s="196">
        <f t="shared" si="1"/>
        <v>186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1455</v>
      </c>
      <c r="C15" s="576" t="s">
        <v>1453</v>
      </c>
      <c r="D15" s="27">
        <v>340</v>
      </c>
      <c r="E15" s="27">
        <v>340</v>
      </c>
      <c r="F15" s="27">
        <v>0</v>
      </c>
      <c r="G15" s="27">
        <v>0</v>
      </c>
      <c r="H15" s="27">
        <v>0</v>
      </c>
      <c r="I15" s="27">
        <v>0</v>
      </c>
      <c r="J15" s="27">
        <v>0</v>
      </c>
      <c r="K15" s="27">
        <v>0</v>
      </c>
      <c r="L15" s="27">
        <v>113</v>
      </c>
      <c r="M15" s="27">
        <v>113</v>
      </c>
      <c r="N15" s="27">
        <v>114</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1454</v>
      </c>
      <c r="C19" s="576" t="s">
        <v>1458</v>
      </c>
      <c r="D19" s="27"/>
      <c r="E19" s="27"/>
      <c r="F19" s="27"/>
      <c r="G19" s="27"/>
      <c r="H19" s="27"/>
      <c r="I19" s="27"/>
      <c r="J19" s="27"/>
      <c r="K19" s="27"/>
      <c r="L19" s="27"/>
      <c r="M19" s="27"/>
      <c r="N19" s="27"/>
      <c r="O19" s="27"/>
      <c r="P19" s="27"/>
      <c r="Q19" s="27"/>
      <c r="R19" s="196">
        <f t="shared" si="4"/>
        <v>0</v>
      </c>
      <c r="S19" s="196">
        <f t="shared" si="1"/>
        <v>0</v>
      </c>
      <c r="T19" s="6"/>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576</v>
      </c>
      <c r="E45" s="117">
        <f t="shared" ref="E45:S45" si="9">SUM(E12:E44)</f>
        <v>576</v>
      </c>
      <c r="F45" s="117">
        <f t="shared" si="9"/>
        <v>2.8710200000000001</v>
      </c>
      <c r="G45" s="117">
        <f t="shared" si="9"/>
        <v>4.2888400000000004</v>
      </c>
      <c r="H45" s="117">
        <f t="shared" si="9"/>
        <v>5.09192</v>
      </c>
      <c r="I45" s="117">
        <f t="shared" si="9"/>
        <v>3.4153200000000004</v>
      </c>
      <c r="J45" s="117">
        <f t="shared" si="9"/>
        <v>2.9750000000000001</v>
      </c>
      <c r="K45" s="117">
        <f t="shared" si="9"/>
        <v>5</v>
      </c>
      <c r="L45" s="117">
        <f t="shared" si="9"/>
        <v>149</v>
      </c>
      <c r="M45" s="117">
        <f t="shared" si="9"/>
        <v>149</v>
      </c>
      <c r="N45" s="117">
        <f t="shared" si="9"/>
        <v>150</v>
      </c>
      <c r="O45" s="117">
        <f t="shared" si="9"/>
        <v>36</v>
      </c>
      <c r="P45" s="117">
        <f t="shared" si="9"/>
        <v>37</v>
      </c>
      <c r="Q45" s="117">
        <f t="shared" si="9"/>
        <v>31</v>
      </c>
      <c r="R45" s="117">
        <f>SUM(R12:R44)</f>
        <v>15.667100000000001</v>
      </c>
      <c r="S45" s="117">
        <f t="shared" si="9"/>
        <v>575.64210000000003</v>
      </c>
      <c r="T45" s="616">
        <f>+'I - Capital RLM'!D60</f>
        <v>15.6671</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0</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15.667100000000001</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1456</v>
      </c>
      <c r="D48" s="32">
        <v>501.13634000000002</v>
      </c>
      <c r="E48" s="27">
        <v>501.13634000000002</v>
      </c>
      <c r="F48" s="27">
        <v>1.0383499999999999</v>
      </c>
      <c r="G48" s="27">
        <v>0</v>
      </c>
      <c r="H48" s="27">
        <v>0</v>
      </c>
      <c r="I48" s="27">
        <v>4.6020000000000003</v>
      </c>
      <c r="J48" s="27">
        <v>62</v>
      </c>
      <c r="K48" s="27">
        <v>62</v>
      </c>
      <c r="L48" s="27">
        <v>62</v>
      </c>
      <c r="M48" s="27">
        <v>62</v>
      </c>
      <c r="N48" s="27">
        <v>62</v>
      </c>
      <c r="O48" s="27">
        <v>62</v>
      </c>
      <c r="P48" s="27">
        <v>62</v>
      </c>
      <c r="Q48" s="27">
        <v>61.6</v>
      </c>
      <c r="R48" s="196">
        <f>SUMPRODUCT($F$7:$Q$7,F48:Q48)</f>
        <v>5.6403499999999998</v>
      </c>
      <c r="S48" s="196">
        <f>SUM(F48:Q48)</f>
        <v>501.24035000000003</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1456</v>
      </c>
      <c r="D49" s="32">
        <v>127.13217999999999</v>
      </c>
      <c r="E49" s="27">
        <v>127.13217999999999</v>
      </c>
      <c r="F49" s="27">
        <v>0</v>
      </c>
      <c r="G49" s="27">
        <v>0</v>
      </c>
      <c r="H49" s="27">
        <v>0</v>
      </c>
      <c r="I49" s="27">
        <v>0</v>
      </c>
      <c r="J49" s="27">
        <v>16</v>
      </c>
      <c r="K49" s="27">
        <v>16</v>
      </c>
      <c r="L49" s="27">
        <v>16</v>
      </c>
      <c r="M49" s="27">
        <v>16</v>
      </c>
      <c r="N49" s="27">
        <v>16</v>
      </c>
      <c r="O49" s="27">
        <v>16</v>
      </c>
      <c r="P49" s="27">
        <v>16</v>
      </c>
      <c r="Q49" s="27">
        <v>15</v>
      </c>
      <c r="R49" s="196">
        <f>SUMPRODUCT($F$7:$Q$7,F49:Q49)</f>
        <v>0</v>
      </c>
      <c r="S49" s="196">
        <f>SUM(F49:Q49)</f>
        <v>127</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1453</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1453</v>
      </c>
      <c r="D51" s="32">
        <v>227.19800000000001</v>
      </c>
      <c r="E51" s="27">
        <v>227.19800000000001</v>
      </c>
      <c r="F51" s="27">
        <v>0</v>
      </c>
      <c r="G51" s="27">
        <v>0</v>
      </c>
      <c r="H51" s="27">
        <v>0</v>
      </c>
      <c r="I51" s="27">
        <v>11.16</v>
      </c>
      <c r="J51" s="27">
        <v>1</v>
      </c>
      <c r="K51" s="27">
        <v>30</v>
      </c>
      <c r="L51" s="27">
        <v>31</v>
      </c>
      <c r="M51" s="27">
        <v>31</v>
      </c>
      <c r="N51" s="27">
        <v>31</v>
      </c>
      <c r="O51" s="27">
        <v>31</v>
      </c>
      <c r="P51" s="27">
        <v>31</v>
      </c>
      <c r="Q51" s="27">
        <v>30</v>
      </c>
      <c r="R51" s="196">
        <f>SUMPRODUCT($F$7:$Q$7,F51:Q51)</f>
        <v>11.16</v>
      </c>
      <c r="S51" s="196">
        <f>SUM(F51:Q51)</f>
        <v>227.16</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1456</v>
      </c>
      <c r="D52" s="33">
        <v>377.53300000000002</v>
      </c>
      <c r="E52" s="28">
        <v>377.53300000000002</v>
      </c>
      <c r="F52" s="28">
        <v>0</v>
      </c>
      <c r="G52" s="28">
        <v>6.0310000000000002E-2</v>
      </c>
      <c r="H52" s="28">
        <v>-0.27972000000000002</v>
      </c>
      <c r="I52" s="28">
        <v>0</v>
      </c>
      <c r="J52" s="28">
        <v>0</v>
      </c>
      <c r="K52" s="28">
        <v>0</v>
      </c>
      <c r="L52" s="28">
        <v>0</v>
      </c>
      <c r="M52" s="28">
        <v>76</v>
      </c>
      <c r="N52" s="28">
        <v>76</v>
      </c>
      <c r="O52" s="28">
        <v>76</v>
      </c>
      <c r="P52" s="28">
        <v>76</v>
      </c>
      <c r="Q52" s="28">
        <v>74</v>
      </c>
      <c r="R52" s="118">
        <f>SUMPRODUCT($F$7:$Q$7,F52:Q52)</f>
        <v>-0.21941000000000002</v>
      </c>
      <c r="S52" s="118">
        <f>SUM(F52:Q52)</f>
        <v>377.78059000000002</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1232.9995199999998</v>
      </c>
      <c r="E53" s="117">
        <f t="shared" ref="E53:S53" si="10">SUM(E48:E52)</f>
        <v>1232.9995199999998</v>
      </c>
      <c r="F53" s="117">
        <f t="shared" si="10"/>
        <v>1.0383499999999999</v>
      </c>
      <c r="G53" s="117">
        <f t="shared" si="10"/>
        <v>6.0310000000000002E-2</v>
      </c>
      <c r="H53" s="117">
        <f t="shared" si="10"/>
        <v>-0.27972000000000002</v>
      </c>
      <c r="I53" s="117">
        <f t="shared" si="10"/>
        <v>15.762</v>
      </c>
      <c r="J53" s="117">
        <f t="shared" si="10"/>
        <v>79</v>
      </c>
      <c r="K53" s="117">
        <f t="shared" si="10"/>
        <v>108</v>
      </c>
      <c r="L53" s="117">
        <f t="shared" si="10"/>
        <v>109</v>
      </c>
      <c r="M53" s="117">
        <f t="shared" si="10"/>
        <v>185</v>
      </c>
      <c r="N53" s="117">
        <f t="shared" si="10"/>
        <v>185</v>
      </c>
      <c r="O53" s="117">
        <f t="shared" si="10"/>
        <v>185</v>
      </c>
      <c r="P53" s="117">
        <f t="shared" si="10"/>
        <v>185</v>
      </c>
      <c r="Q53" s="117">
        <f t="shared" si="10"/>
        <v>180.6</v>
      </c>
      <c r="R53" s="117">
        <f t="shared" si="10"/>
        <v>16.580940000000002</v>
      </c>
      <c r="S53" s="117">
        <f t="shared" si="10"/>
        <v>1233.18094</v>
      </c>
      <c r="T53" s="615">
        <f>+'I - Capital RLM'!D69</f>
        <v>16.580940000000002</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0</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16.580940000000002</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1808.9995199999998</v>
      </c>
      <c r="E78" s="117">
        <f t="shared" ref="E78:S78" si="20">+E45+E53+E76</f>
        <v>1808.9995199999998</v>
      </c>
      <c r="F78" s="117">
        <f t="shared" si="20"/>
        <v>3.90937</v>
      </c>
      <c r="G78" s="117">
        <f t="shared" si="20"/>
        <v>4.3491500000000007</v>
      </c>
      <c r="H78" s="117">
        <f t="shared" si="20"/>
        <v>4.8121999999999998</v>
      </c>
      <c r="I78" s="117">
        <f t="shared" si="20"/>
        <v>19.177320000000002</v>
      </c>
      <c r="J78" s="117">
        <f t="shared" si="20"/>
        <v>81.974999999999994</v>
      </c>
      <c r="K78" s="117">
        <f t="shared" si="20"/>
        <v>113</v>
      </c>
      <c r="L78" s="117">
        <f t="shared" si="20"/>
        <v>258</v>
      </c>
      <c r="M78" s="117">
        <f t="shared" si="20"/>
        <v>334</v>
      </c>
      <c r="N78" s="117">
        <f t="shared" si="20"/>
        <v>335</v>
      </c>
      <c r="O78" s="117">
        <f t="shared" si="20"/>
        <v>221</v>
      </c>
      <c r="P78" s="117">
        <f t="shared" si="20"/>
        <v>222</v>
      </c>
      <c r="Q78" s="117">
        <f t="shared" si="20"/>
        <v>211.6</v>
      </c>
      <c r="R78" s="117">
        <f>+R45+R53+R76</f>
        <v>32.248040000000003</v>
      </c>
      <c r="S78" s="117">
        <f t="shared" si="20"/>
        <v>1808.82304</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81640625" defaultRowHeight="15"/>
  <cols>
    <col min="1" max="1" width="5.08984375" customWidth="1"/>
    <col min="2" max="2" width="54" customWidth="1"/>
    <col min="3" max="5" width="21.81640625" customWidth="1"/>
    <col min="6" max="6" width="10.81640625" customWidth="1"/>
    <col min="8" max="8" width="9.81640625" customWidth="1"/>
    <col min="16" max="16" width="24.08984375" bestFit="1" customWidth="1"/>
    <col min="17" max="20" width="8.81640625" style="753"/>
    <col min="25" max="25" width="44.1796875" customWidth="1"/>
    <col min="26" max="26" width="101.5429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Jul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1">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7.399999999999999">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6">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6">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6.8">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6.8">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6">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6">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6">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6">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6">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topLeftCell="A2" zoomScale="90" zoomScaleNormal="90" zoomScaleSheetLayoutView="85" workbookViewId="0">
      <selection activeCell="C11" sqref="C11"/>
    </sheetView>
  </sheetViews>
  <sheetFormatPr defaultColWidth="9.81640625" defaultRowHeight="15"/>
  <cols>
    <col min="1" max="1" width="5.81640625" customWidth="1"/>
    <col min="2" max="2" width="58.81640625" customWidth="1"/>
    <col min="3" max="6" width="14.81640625" customWidth="1"/>
    <col min="7" max="7" width="14.81640625" style="753" customWidth="1"/>
    <col min="8" max="8" width="35.81640625" style="753" bestFit="1" customWidth="1"/>
    <col min="9" max="9" width="75.81640625" customWidth="1"/>
    <col min="10" max="10" width="15.54296875" customWidth="1"/>
  </cols>
  <sheetData>
    <row r="1" spans="1:37" ht="38.25" customHeight="1">
      <c r="A1" s="1357" t="str">
        <f>Summary!A1</f>
        <v>Public Health Wales Trust</v>
      </c>
      <c r="B1" s="1641"/>
      <c r="C1" s="71"/>
      <c r="D1" s="150" t="s">
        <v>460</v>
      </c>
      <c r="E1" s="1640" t="str">
        <f>Summary!H1</f>
        <v>Jul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6">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7.399999999999999">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6">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6">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7.399999999999999">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6">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6">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4</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4.0000015815166989E-5</v>
      </c>
      <c r="E11" s="1612">
        <f t="shared" ref="E11:E18" si="0">SUM(D11-C11)</f>
        <v>4.0000015815166989E-5</v>
      </c>
      <c r="F11" s="1611">
        <f>Summary!C11</f>
        <v>157</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2018+2715+1490+197</f>
        <v>6420</v>
      </c>
      <c r="E12" s="1612">
        <f t="shared" si="0"/>
        <v>197</v>
      </c>
      <c r="F12" s="1611">
        <f>672+905+497+66</f>
        <v>2140</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122</v>
      </c>
      <c r="E13" s="1612">
        <f>SUM(D13-C13)</f>
        <v>122</v>
      </c>
      <c r="F13" s="1611">
        <f>'B - Monthly Positions'!P79</f>
        <v>40.64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RLM'!C7</f>
        <v>-1809</v>
      </c>
      <c r="D20" s="1611">
        <f>-'I - Capital RLM'!H95</f>
        <v>-1808.9995199999998</v>
      </c>
      <c r="E20" s="1612">
        <f>SUM(D20-C20)</f>
        <v>4.8000000015235855E-4</v>
      </c>
      <c r="F20" s="1611">
        <f>-'I - Capital RLM'!D95</f>
        <v>-32.248040000000003</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292</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-24095</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18388</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430</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-4985</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2969</v>
      </c>
      <c r="D29" s="1616">
        <f>SUM(D11:D27)</f>
        <v>3288.000520000016</v>
      </c>
      <c r="E29" s="1617">
        <f>SUM(E11:E27)</f>
        <v>319.00052000001597</v>
      </c>
      <c r="F29" s="1616">
        <f>SUM(F11:F27)</f>
        <v>-2679.6080399999992</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-2969</v>
      </c>
      <c r="D31" s="1611">
        <f>-D29</f>
        <v>-3288.000520000016</v>
      </c>
      <c r="E31" s="1612">
        <f>SUM(D31-C31)</f>
        <v>-319.00052000001597</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6">
      <c r="A33" s="1614">
        <v>21</v>
      </c>
      <c r="B33" s="1613" t="s">
        <v>747</v>
      </c>
      <c r="C33" s="1611"/>
      <c r="D33" s="1611"/>
      <c r="E33" s="1612">
        <f>SUM(D33-C33)</f>
        <v>0</v>
      </c>
      <c r="F33" s="1611">
        <f>'F - SoFP'!C18-'F - SoFP'!D18</f>
        <v>1513</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6">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6">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2" thickBot="1">
      <c r="A36" s="1606">
        <v>23</v>
      </c>
      <c r="B36" s="1605" t="s">
        <v>745</v>
      </c>
      <c r="C36" s="1603">
        <f>SUM(C31:C34)</f>
        <v>-2969</v>
      </c>
      <c r="D36" s="1603">
        <f>SUM(D31:D34)</f>
        <v>-3288.000520000016</v>
      </c>
      <c r="E36" s="1604">
        <f>SUM(E31:E34)</f>
        <v>-319.00052000001597</v>
      </c>
      <c r="F36" s="1603">
        <f>SUM(F31:F34)</f>
        <v>1513</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2"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6">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6">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6">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6">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6">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6">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6">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6">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6">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6">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6">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6">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6">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6">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6">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6">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6">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6">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6">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6">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6">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6">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6">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6">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6">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6">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6">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6">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6">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6">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6">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6">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6">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6">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6">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6">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6">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6">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6">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6">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6">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6">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6">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6">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6">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6">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6">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6">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6">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6">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6">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6">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6">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6">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6">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6">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6">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6">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6">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6">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6">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6">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6">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6">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B4" sqref="B4"/>
    </sheetView>
  </sheetViews>
  <sheetFormatPr defaultRowHeight="15"/>
  <cols>
    <col min="1" max="1" width="1.453125" customWidth="1"/>
    <col min="2" max="2" width="48.81640625" customWidth="1"/>
    <col min="3" max="3" width="10.81640625" customWidth="1"/>
    <col min="4" max="4" width="16.81640625" customWidth="1"/>
    <col min="5" max="6" width="14.1796875" customWidth="1"/>
    <col min="7" max="7" width="20.81640625" customWidth="1"/>
    <col min="8" max="8" width="29.54296875" customWidth="1"/>
    <col min="9" max="9" width="22.81640625" customWidth="1"/>
    <col min="10" max="10" width="24.81640625" customWidth="1"/>
    <col min="11" max="11" width="72.54296875" customWidth="1"/>
    <col min="12" max="15" width="8.81640625" style="1452"/>
    <col min="16" max="16" width="50.1796875" style="1452" bestFit="1" customWidth="1"/>
    <col min="17" max="17" width="102.54296875" style="1452" customWidth="1"/>
    <col min="18" max="43" width="8.81640625" style="1452"/>
  </cols>
  <sheetData>
    <row r="1" spans="1:62" ht="15.6">
      <c r="A1" s="807"/>
      <c r="B1" s="810" t="str">
        <f>+Summary!A1</f>
        <v>Public Health Wales Trust</v>
      </c>
      <c r="C1" s="881"/>
      <c r="D1" s="882"/>
      <c r="E1" s="882"/>
      <c r="F1" s="883"/>
      <c r="G1" s="808"/>
      <c r="H1" s="814"/>
      <c r="I1" s="1145" t="s">
        <v>461</v>
      </c>
      <c r="J1" s="988" t="str">
        <f>+Summary!H1</f>
        <v>Jul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6">
      <c r="A2" s="807"/>
      <c r="B2" s="807"/>
      <c r="C2" s="884"/>
      <c r="D2" s="885"/>
      <c r="E2" s="885"/>
      <c r="F2" s="883"/>
      <c r="G2" s="808"/>
      <c r="H2" s="835" t="str">
        <f>"11 weeks before end of "&amp;J1&amp;" ="</f>
        <v>11 weeks before end of Jul 23 =</v>
      </c>
      <c r="I2" s="836">
        <f>VLOOKUP(J1,$BE$1:$BH$12,2,0)</f>
        <v>45061</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Jul 23 =</v>
      </c>
      <c r="I3" s="838">
        <f>VLOOKUP(J1,$BE$1:$BH$12,3,0)</f>
        <v>45019</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401</v>
      </c>
      <c r="C6" s="633" t="s">
        <v>1477</v>
      </c>
      <c r="D6" s="634">
        <v>45042</v>
      </c>
      <c r="E6" s="635">
        <v>400</v>
      </c>
      <c r="F6" s="636">
        <v>400</v>
      </c>
      <c r="G6" s="825" t="str">
        <f>IF(D6="","",IF(D6&gt;$I$2,"No, less than 11 weeks","Yes, valid entry for period"))</f>
        <v>Yes, valid entry for period</v>
      </c>
      <c r="H6" s="826">
        <f>IF(F6="","",IF(D6&lt;$I$3,"",F6))</f>
        <v>400</v>
      </c>
      <c r="I6" s="826" t="str">
        <f>IF(F6="","",IF(D6&gt;=$I$3,"",F6))</f>
        <v/>
      </c>
      <c r="J6" s="827">
        <f>IF(D6="","",SUM(D6+119))</f>
        <v>45161</v>
      </c>
      <c r="K6" s="647" t="s">
        <v>1494</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401</v>
      </c>
      <c r="C7" s="633" t="s">
        <v>1478</v>
      </c>
      <c r="D7" s="634">
        <v>45042</v>
      </c>
      <c r="E7" s="635">
        <v>400</v>
      </c>
      <c r="F7" s="636">
        <v>400</v>
      </c>
      <c r="G7" s="825" t="str">
        <f t="shared" ref="G7:G70" si="2">IF(D7="","",IF(D7&gt;$I$2,"No, less than 11 weeks","Yes, valid entry for period"))</f>
        <v>Yes, valid entry for period</v>
      </c>
      <c r="H7" s="828">
        <f t="shared" ref="H7:H70" si="3">IF(F7="","",IF(D7&lt;$I$3,"",F7))</f>
        <v>400</v>
      </c>
      <c r="I7" s="828" t="str">
        <f t="shared" ref="I7:I70" si="4">IF(F7="","",IF(D7&gt;=$I$3,"",F7))</f>
        <v/>
      </c>
      <c r="J7" s="829">
        <f t="shared" ref="J7:J70" si="5">IF(D7="","",SUM(D7+119))</f>
        <v>45161</v>
      </c>
      <c r="K7" s="647" t="s">
        <v>1494</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401</v>
      </c>
      <c r="C8" s="633" t="s">
        <v>1479</v>
      </c>
      <c r="D8" s="634">
        <v>45042</v>
      </c>
      <c r="E8" s="635">
        <v>400</v>
      </c>
      <c r="F8" s="636">
        <v>400</v>
      </c>
      <c r="G8" s="825" t="str">
        <f t="shared" si="2"/>
        <v>Yes, valid entry for period</v>
      </c>
      <c r="H8" s="828">
        <f t="shared" si="3"/>
        <v>400</v>
      </c>
      <c r="I8" s="828" t="str">
        <f t="shared" si="4"/>
        <v/>
      </c>
      <c r="J8" s="829">
        <f t="shared" si="5"/>
        <v>45161</v>
      </c>
      <c r="K8" s="647" t="s">
        <v>1494</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401</v>
      </c>
      <c r="C9" s="633" t="s">
        <v>1480</v>
      </c>
      <c r="D9" s="634">
        <v>45042</v>
      </c>
      <c r="E9" s="635">
        <v>400</v>
      </c>
      <c r="F9" s="636">
        <v>400</v>
      </c>
      <c r="G9" s="825" t="str">
        <f t="shared" si="2"/>
        <v>Yes, valid entry for period</v>
      </c>
      <c r="H9" s="828">
        <f t="shared" si="3"/>
        <v>400</v>
      </c>
      <c r="I9" s="828" t="str">
        <f t="shared" si="4"/>
        <v/>
      </c>
      <c r="J9" s="829">
        <f t="shared" si="5"/>
        <v>45161</v>
      </c>
      <c r="K9" s="647" t="s">
        <v>1494</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t="s">
        <v>401</v>
      </c>
      <c r="C10" s="633" t="s">
        <v>1481</v>
      </c>
      <c r="D10" s="634">
        <v>45042</v>
      </c>
      <c r="E10" s="635">
        <v>400</v>
      </c>
      <c r="F10" s="636">
        <v>400</v>
      </c>
      <c r="G10" s="825" t="str">
        <f t="shared" si="2"/>
        <v>Yes, valid entry for period</v>
      </c>
      <c r="H10" s="828">
        <f t="shared" si="3"/>
        <v>400</v>
      </c>
      <c r="I10" s="828" t="str">
        <f t="shared" si="4"/>
        <v/>
      </c>
      <c r="J10" s="829">
        <f t="shared" si="5"/>
        <v>45161</v>
      </c>
      <c r="K10" s="647" t="s">
        <v>1494</v>
      </c>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t="s">
        <v>401</v>
      </c>
      <c r="C11" s="633" t="s">
        <v>1482</v>
      </c>
      <c r="D11" s="634">
        <v>45042</v>
      </c>
      <c r="E11" s="635">
        <v>400</v>
      </c>
      <c r="F11" s="636">
        <v>400</v>
      </c>
      <c r="G11" s="825" t="str">
        <f t="shared" si="2"/>
        <v>Yes, valid entry for period</v>
      </c>
      <c r="H11" s="828">
        <f t="shared" si="3"/>
        <v>400</v>
      </c>
      <c r="I11" s="828" t="str">
        <f t="shared" si="4"/>
        <v/>
      </c>
      <c r="J11" s="829">
        <f t="shared" si="5"/>
        <v>45161</v>
      </c>
      <c r="K11" s="647" t="s">
        <v>1494</v>
      </c>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t="s">
        <v>401</v>
      </c>
      <c r="C12" s="633" t="s">
        <v>1483</v>
      </c>
      <c r="D12" s="634">
        <v>45042</v>
      </c>
      <c r="E12" s="635">
        <v>400</v>
      </c>
      <c r="F12" s="636">
        <v>400</v>
      </c>
      <c r="G12" s="825" t="str">
        <f t="shared" si="2"/>
        <v>Yes, valid entry for period</v>
      </c>
      <c r="H12" s="828">
        <f t="shared" si="3"/>
        <v>400</v>
      </c>
      <c r="I12" s="828" t="str">
        <f t="shared" si="4"/>
        <v/>
      </c>
      <c r="J12" s="829">
        <f t="shared" si="5"/>
        <v>45161</v>
      </c>
      <c r="K12" s="647" t="s">
        <v>1494</v>
      </c>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t="s">
        <v>401</v>
      </c>
      <c r="C13" s="633" t="s">
        <v>1484</v>
      </c>
      <c r="D13" s="634">
        <v>45042</v>
      </c>
      <c r="E13" s="635">
        <v>400</v>
      </c>
      <c r="F13" s="636">
        <v>400</v>
      </c>
      <c r="G13" s="825" t="str">
        <f t="shared" si="2"/>
        <v>Yes, valid entry for period</v>
      </c>
      <c r="H13" s="828">
        <f t="shared" si="3"/>
        <v>400</v>
      </c>
      <c r="I13" s="828" t="str">
        <f t="shared" si="4"/>
        <v/>
      </c>
      <c r="J13" s="829">
        <f t="shared" si="5"/>
        <v>45161</v>
      </c>
      <c r="K13" s="647" t="s">
        <v>1494</v>
      </c>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t="s">
        <v>401</v>
      </c>
      <c r="C14" s="633" t="s">
        <v>1485</v>
      </c>
      <c r="D14" s="634">
        <v>45042</v>
      </c>
      <c r="E14" s="635">
        <v>400</v>
      </c>
      <c r="F14" s="636">
        <v>400</v>
      </c>
      <c r="G14" s="825" t="str">
        <f t="shared" si="2"/>
        <v>Yes, valid entry for period</v>
      </c>
      <c r="H14" s="828">
        <f t="shared" si="3"/>
        <v>400</v>
      </c>
      <c r="I14" s="828" t="str">
        <f t="shared" si="4"/>
        <v/>
      </c>
      <c r="J14" s="829">
        <f t="shared" si="5"/>
        <v>45161</v>
      </c>
      <c r="K14" s="647" t="s">
        <v>1494</v>
      </c>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t="s">
        <v>401</v>
      </c>
      <c r="C15" s="633" t="s">
        <v>1486</v>
      </c>
      <c r="D15" s="634">
        <v>45042</v>
      </c>
      <c r="E15" s="635">
        <v>400</v>
      </c>
      <c r="F15" s="636">
        <v>400</v>
      </c>
      <c r="G15" s="825" t="str">
        <f t="shared" si="2"/>
        <v>Yes, valid entry for period</v>
      </c>
      <c r="H15" s="828">
        <f t="shared" si="3"/>
        <v>400</v>
      </c>
      <c r="I15" s="828" t="str">
        <f t="shared" si="4"/>
        <v/>
      </c>
      <c r="J15" s="829">
        <f t="shared" si="5"/>
        <v>45161</v>
      </c>
      <c r="K15" s="647" t="s">
        <v>1494</v>
      </c>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t="s">
        <v>401</v>
      </c>
      <c r="C16" s="633" t="s">
        <v>1487</v>
      </c>
      <c r="D16" s="634">
        <v>45042</v>
      </c>
      <c r="E16" s="635">
        <v>400</v>
      </c>
      <c r="F16" s="636">
        <v>400</v>
      </c>
      <c r="G16" s="825" t="str">
        <f t="shared" si="2"/>
        <v>Yes, valid entry for period</v>
      </c>
      <c r="H16" s="828">
        <f t="shared" si="3"/>
        <v>400</v>
      </c>
      <c r="I16" s="828" t="str">
        <f t="shared" si="4"/>
        <v/>
      </c>
      <c r="J16" s="829">
        <f t="shared" si="5"/>
        <v>45161</v>
      </c>
      <c r="K16" s="647" t="s">
        <v>1494</v>
      </c>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t="s">
        <v>401</v>
      </c>
      <c r="C17" s="633" t="s">
        <v>1488</v>
      </c>
      <c r="D17" s="634">
        <v>45042</v>
      </c>
      <c r="E17" s="635">
        <v>400</v>
      </c>
      <c r="F17" s="636">
        <v>400</v>
      </c>
      <c r="G17" s="825" t="str">
        <f t="shared" si="2"/>
        <v>Yes, valid entry for period</v>
      </c>
      <c r="H17" s="828">
        <f t="shared" si="3"/>
        <v>400</v>
      </c>
      <c r="I17" s="828" t="str">
        <f t="shared" si="4"/>
        <v/>
      </c>
      <c r="J17" s="829">
        <f t="shared" si="5"/>
        <v>45161</v>
      </c>
      <c r="K17" s="647" t="s">
        <v>1494</v>
      </c>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t="s">
        <v>401</v>
      </c>
      <c r="C18" s="633" t="s">
        <v>1489</v>
      </c>
      <c r="D18" s="634">
        <v>45042</v>
      </c>
      <c r="E18" s="635">
        <v>400</v>
      </c>
      <c r="F18" s="636">
        <v>400</v>
      </c>
      <c r="G18" s="825" t="str">
        <f t="shared" si="2"/>
        <v>Yes, valid entry for period</v>
      </c>
      <c r="H18" s="828">
        <f t="shared" si="3"/>
        <v>400</v>
      </c>
      <c r="I18" s="828" t="str">
        <f t="shared" si="4"/>
        <v/>
      </c>
      <c r="J18" s="829">
        <f t="shared" si="5"/>
        <v>45161</v>
      </c>
      <c r="K18" s="647" t="s">
        <v>1494</v>
      </c>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t="s">
        <v>401</v>
      </c>
      <c r="C19" s="633" t="s">
        <v>1490</v>
      </c>
      <c r="D19" s="634">
        <v>45042</v>
      </c>
      <c r="E19" s="635">
        <v>400</v>
      </c>
      <c r="F19" s="636">
        <v>400</v>
      </c>
      <c r="G19" s="825" t="str">
        <f t="shared" si="2"/>
        <v>Yes, valid entry for period</v>
      </c>
      <c r="H19" s="828">
        <f t="shared" si="3"/>
        <v>400</v>
      </c>
      <c r="I19" s="828" t="str">
        <f t="shared" si="4"/>
        <v/>
      </c>
      <c r="J19" s="829">
        <f t="shared" si="5"/>
        <v>45161</v>
      </c>
      <c r="K19" s="647" t="s">
        <v>1494</v>
      </c>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t="s">
        <v>401</v>
      </c>
      <c r="C20" s="633" t="s">
        <v>1491</v>
      </c>
      <c r="D20" s="634">
        <v>45042</v>
      </c>
      <c r="E20" s="635">
        <v>400</v>
      </c>
      <c r="F20" s="636">
        <v>400</v>
      </c>
      <c r="G20" s="825" t="str">
        <f t="shared" si="2"/>
        <v>Yes, valid entry for period</v>
      </c>
      <c r="H20" s="828">
        <f t="shared" si="3"/>
        <v>400</v>
      </c>
      <c r="I20" s="828" t="str">
        <f t="shared" si="4"/>
        <v/>
      </c>
      <c r="J20" s="829">
        <f t="shared" si="5"/>
        <v>45161</v>
      </c>
      <c r="K20" s="647" t="s">
        <v>1494</v>
      </c>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t="s">
        <v>401</v>
      </c>
      <c r="C21" s="633" t="s">
        <v>1492</v>
      </c>
      <c r="D21" s="634">
        <v>45042</v>
      </c>
      <c r="E21" s="635">
        <v>400</v>
      </c>
      <c r="F21" s="636">
        <v>400</v>
      </c>
      <c r="G21" s="825" t="str">
        <f t="shared" si="2"/>
        <v>Yes, valid entry for period</v>
      </c>
      <c r="H21" s="828">
        <f t="shared" si="3"/>
        <v>400</v>
      </c>
      <c r="I21" s="828" t="str">
        <f t="shared" si="4"/>
        <v/>
      </c>
      <c r="J21" s="829">
        <f t="shared" si="5"/>
        <v>45161</v>
      </c>
      <c r="K21" s="647" t="s">
        <v>1494</v>
      </c>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t="s">
        <v>401</v>
      </c>
      <c r="C22" s="633" t="s">
        <v>1493</v>
      </c>
      <c r="D22" s="634">
        <v>45042</v>
      </c>
      <c r="E22" s="635">
        <v>400</v>
      </c>
      <c r="F22" s="636">
        <v>400</v>
      </c>
      <c r="G22" s="825" t="str">
        <f t="shared" si="2"/>
        <v>Yes, valid entry for period</v>
      </c>
      <c r="H22" s="828">
        <f t="shared" si="3"/>
        <v>400</v>
      </c>
      <c r="I22" s="828" t="str">
        <f t="shared" si="4"/>
        <v/>
      </c>
      <c r="J22" s="829">
        <f t="shared" si="5"/>
        <v>45161</v>
      </c>
      <c r="K22" s="647" t="s">
        <v>1494</v>
      </c>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6" thickBot="1">
      <c r="A151" s="813"/>
      <c r="B151" s="641"/>
      <c r="C151" s="642"/>
      <c r="D151" s="643"/>
      <c r="E151" s="833">
        <f>SUM(E6:E150)</f>
        <v>6800</v>
      </c>
      <c r="F151" s="833">
        <f>SUM(F6:F150)</f>
        <v>6800</v>
      </c>
      <c r="G151" s="644"/>
      <c r="H151" s="834">
        <f>SUM(H6:H150)</f>
        <v>6800</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6" thickBot="1">
      <c r="A157" s="813"/>
      <c r="B157" s="818"/>
      <c r="C157" s="819"/>
      <c r="D157" s="820"/>
      <c r="E157" s="820"/>
      <c r="F157" s="821"/>
      <c r="G157" s="1158" t="s">
        <v>418</v>
      </c>
      <c r="H157" s="1025">
        <f>+H151-H154</f>
        <v>6800</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1640625" defaultRowHeight="15" customHeight="1"/>
  <cols>
    <col min="1" max="1" width="59.1796875" customWidth="1"/>
    <col min="2" max="2" width="41.81640625" customWidth="1"/>
    <col min="3" max="3" width="11.54296875" customWidth="1"/>
    <col min="4" max="7" width="16" customWidth="1"/>
    <col min="8" max="8" width="3.81640625" customWidth="1"/>
    <col min="9" max="9" width="15.81640625" customWidth="1"/>
    <col min="16" max="16" width="50.81640625" customWidth="1"/>
    <col min="17" max="17" width="92.453125" customWidth="1"/>
  </cols>
  <sheetData>
    <row r="1" spans="1:45" ht="24.6">
      <c r="A1" s="421" t="str">
        <f>+Summary!A1</f>
        <v>Public Health Wales Trust</v>
      </c>
      <c r="B1" s="246"/>
      <c r="C1" s="422"/>
      <c r="D1" s="423" t="str">
        <f>+Summary!G1</f>
        <v>Period :</v>
      </c>
      <c r="E1" s="423" t="str">
        <f>+Summary!H1</f>
        <v>Jul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2.8">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2.8">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2">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1">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399999999999999">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2.2"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399999999999999">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6"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399999999999999">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399999999999999">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6"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1">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399999999999999">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399999999999999">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399999999999999">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6"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1">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1">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399999999999999">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399999999999999">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399999999999999">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399999999999999">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399999999999999">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399999999999999">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1">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399999999999999">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399999999999999">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399999999999999">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399999999999999">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399999999999999">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399999999999999">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600000000000001"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1">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1">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399999999999999">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399999999999999">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399999999999999">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399999999999999">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399999999999999">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399999999999999">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399999999999999">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399999999999999">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1">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1">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399999999999999">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399999999999999">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399999999999999">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399999999999999">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399999999999999">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399999999999999">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399999999999999">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399999999999999">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399999999999999">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399999999999999">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399999999999999">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399999999999999">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399999999999999">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399999999999999">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399999999999999">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399999999999999">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399999999999999">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399999999999999">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399999999999999">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399999999999999">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399999999999999">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399999999999999">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399999999999999">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399999999999999">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399999999999999">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399999999999999">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399999999999999">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399999999999999">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399999999999999">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399999999999999">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399999999999999">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399999999999999">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399999999999999">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399999999999999">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399999999999999">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399999999999999">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399999999999999">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399999999999999">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399999999999999">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399999999999999">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399999999999999">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399999999999999">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399999999999999">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399999999999999">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399999999999999">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399999999999999">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399999999999999">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399999999999999">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399999999999999">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6"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1">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2">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399999999999999">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399999999999999">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399999999999999">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399999999999999">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399999999999999">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399999999999999">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399999999999999">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399999999999999">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399999999999999">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399999999999999">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399999999999999">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399999999999999">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1">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399999999999999">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7.399999999999999">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1">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399999999999999">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399999999999999">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399999999999999">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399999999999999">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399999999999999">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399999999999999">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399999999999999">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399999999999999">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399999999999999">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399999999999999">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399999999999999">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399999999999999">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399999999999999">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399999999999999">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6"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1">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399999999999999">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399999999999999">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399999999999999">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399999999999999">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399999999999999">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399999999999999">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399999999999999">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399999999999999">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6"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1">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1">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399999999999999">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399999999999999">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6"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1">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1">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1">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2">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6">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1">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399999999999999">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399999999999999">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1">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399999999999999">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2">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399999999999999">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399999999999999">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1">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1">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1">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1640625" defaultRowHeight="15"/>
  <cols>
    <col min="1" max="1" width="55.1796875" customWidth="1"/>
    <col min="2" max="2" width="15.08984375" customWidth="1"/>
    <col min="4" max="7" width="15.81640625" customWidth="1"/>
    <col min="8" max="8" width="2.54296875" customWidth="1"/>
    <col min="9" max="9" width="15.81640625" customWidth="1"/>
    <col min="10" max="10" width="10.81640625" bestFit="1" customWidth="1"/>
    <col min="14" max="14" width="55.1796875" customWidth="1"/>
    <col min="15" max="15" width="82.453125" customWidth="1"/>
  </cols>
  <sheetData>
    <row r="1" spans="1:59" ht="24.6">
      <c r="A1" s="421" t="str">
        <f>+Summary!A1</f>
        <v>Public Health Wales Trust</v>
      </c>
      <c r="B1" s="80"/>
      <c r="C1" s="684"/>
      <c r="D1" s="685"/>
      <c r="E1" s="685"/>
      <c r="F1" s="423" t="str">
        <f>+'N - GMS'!D1</f>
        <v>Period :</v>
      </c>
      <c r="G1" s="423" t="str">
        <f>+'N - GMS'!E1</f>
        <v>Jul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399999999999999">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1">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1">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7.399999999999999">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399999999999999">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399999999999999">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399999999999999">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399999999999999">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399999999999999">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399999999999999">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399999999999999">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399999999999999">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399999999999999">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399999999999999">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399999999999999">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399999999999999">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399999999999999">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399999999999999">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600000000000001"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6"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2"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6"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2"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6"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1">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1640625" defaultRowHeight="15"/>
  <cols>
    <col min="1" max="1" width="6.81640625" style="1467" customWidth="1"/>
    <col min="2" max="2" width="68.453125" style="1467" customWidth="1"/>
    <col min="3" max="3" width="31.81640625" style="1467" bestFit="1" customWidth="1"/>
    <col min="4" max="18" width="10.81640625" style="1467" customWidth="1"/>
    <col min="19" max="19" width="8.81640625" style="1467"/>
    <col min="20" max="20" width="13.81640625" style="1467" customWidth="1"/>
    <col min="21" max="21" width="32.81640625" style="1467" bestFit="1" customWidth="1"/>
    <col min="22" max="23" width="8.81640625" style="1467"/>
    <col min="24" max="24" width="10.1796875" style="1467" customWidth="1"/>
    <col min="25" max="27" width="8.81640625" style="1467"/>
    <col min="28" max="28" width="8.81640625" style="2589"/>
    <col min="29" max="29" width="9.54296875" style="1467" customWidth="1"/>
    <col min="30" max="16384" width="8.81640625" style="1467"/>
  </cols>
  <sheetData>
    <row r="1" spans="1:32" ht="30">
      <c r="A1" s="2567" t="str">
        <f>+Summary!A1</f>
        <v>Public Health Wales Trust</v>
      </c>
      <c r="B1" s="2647"/>
      <c r="C1" s="2648"/>
      <c r="D1" s="2649"/>
      <c r="E1" s="2649"/>
      <c r="F1" s="2649"/>
      <c r="G1" s="2649"/>
      <c r="H1" s="2649"/>
      <c r="I1" s="2678" t="s">
        <v>51</v>
      </c>
      <c r="J1" s="2648" t="str">
        <f>+Summary!H1</f>
        <v>Jul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2" thickBot="1">
      <c r="A2" s="2650"/>
      <c r="B2" s="2651"/>
      <c r="C2" s="2652">
        <f>VLOOKUP(J1,X1:Y12,2,FALSE)</f>
        <v>4</v>
      </c>
      <c r="D2" s="2652"/>
      <c r="E2" s="2649"/>
      <c r="F2" s="2652">
        <f>IF(F3&lt;=$C$2,1,0)</f>
        <v>1</v>
      </c>
      <c r="G2" s="2652">
        <f t="shared" ref="G2:Q2" si="0">IF(G3&lt;=$C$2,1,0)</f>
        <v>1</v>
      </c>
      <c r="H2" s="2652">
        <f t="shared" si="0"/>
        <v>1</v>
      </c>
      <c r="I2" s="2652">
        <f t="shared" si="0"/>
        <v>1</v>
      </c>
      <c r="J2" s="2652">
        <f t="shared" si="0"/>
        <v>0</v>
      </c>
      <c r="K2" s="2652">
        <f t="shared" si="0"/>
        <v>0</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2"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6"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6"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6"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6"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95"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95"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95"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95"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95"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95" customHeight="1" thickBot="1">
      <c r="A27" s="2607"/>
      <c r="AB27" s="1467"/>
      <c r="AC27" s="2589"/>
    </row>
    <row r="28" spans="1:29" ht="16.95"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2"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95"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95"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95"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95"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95"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95"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95"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95"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95"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95"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95"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95"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6"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5"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5"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6">
      <c r="A55" s="2607"/>
      <c r="B55" s="2659" t="s">
        <v>1297</v>
      </c>
      <c r="AB55" s="1467"/>
      <c r="AC55" s="2589"/>
    </row>
    <row r="56" spans="1:29" ht="16.2" thickBot="1">
      <c r="A56" s="2607"/>
      <c r="B56" s="2659"/>
      <c r="AB56" s="1467"/>
      <c r="AC56" s="2589"/>
    </row>
    <row r="57" spans="1:29" ht="16.2"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1.8"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6" thickBot="1">
      <c r="A67" s="2607"/>
    </row>
    <row r="68" spans="1:29" ht="31.8"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6" thickBot="1">
      <c r="A76" s="2607">
        <f t="shared" si="167"/>
        <v>0</v>
      </c>
      <c r="B76" s="2682"/>
      <c r="C76" s="2709"/>
    </row>
    <row r="77" spans="1:29" ht="15.6" thickBot="1">
      <c r="A77" s="2607" t="str">
        <f>B68&amp;"_"&amp;B77</f>
        <v>Mental Health (SIF) Allocations (Confirm in below text 'Allocated' or 'Anticipated')_Total</v>
      </c>
      <c r="B77" s="2675" t="s">
        <v>78</v>
      </c>
      <c r="C77" s="1100">
        <f>SUM(C69:C76)</f>
        <v>0</v>
      </c>
      <c r="D77" s="1467" t="str">
        <f>IF(C77-E34=0,"","check")</f>
        <v/>
      </c>
    </row>
    <row r="78" spans="1:29" ht="15.6" thickBot="1">
      <c r="A78" s="2607"/>
    </row>
    <row r="79" spans="1:29" ht="16.2"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6" thickBot="1">
      <c r="A87" s="2607">
        <f t="shared" si="168"/>
        <v>0</v>
      </c>
      <c r="B87" s="2685"/>
      <c r="C87" s="2709"/>
    </row>
    <row r="88" spans="1:4" ht="15.6" thickBot="1">
      <c r="A88" s="2607" t="str">
        <f>B79&amp;"_"&amp;B88</f>
        <v>Planned Care (Confirm in below text 'Allocated' or 'Anticipated')_Total</v>
      </c>
      <c r="B88" s="2675" t="s">
        <v>78</v>
      </c>
      <c r="C88" s="1100">
        <f>SUM(C80:C87)</f>
        <v>0</v>
      </c>
      <c r="D88" s="1467" t="str">
        <f>IF(C88-E38=0,"","check")</f>
        <v/>
      </c>
    </row>
    <row r="89" spans="1:4" ht="15.6" thickBot="1">
      <c r="A89" s="2607"/>
    </row>
    <row r="90" spans="1:4" ht="16.2"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6" thickBot="1">
      <c r="A97" s="2607">
        <f t="shared" si="169"/>
        <v>0</v>
      </c>
      <c r="B97" s="2685"/>
      <c r="C97" s="2708"/>
    </row>
    <row r="98" spans="1:4" ht="15.6" thickBot="1">
      <c r="A98" s="2607" t="str">
        <f>B90&amp;"_"&amp;B98</f>
        <v>Value Based Health Care (Confirm in below text 'Allocated' or 'Anticipated')_Total</v>
      </c>
      <c r="B98" s="2675" t="s">
        <v>78</v>
      </c>
      <c r="C98" s="1100">
        <f>SUM(C91:C97)</f>
        <v>0</v>
      </c>
      <c r="D98" s="1467" t="str">
        <f>IF(C98-E42=0,"","check")</f>
        <v/>
      </c>
    </row>
    <row r="99" spans="1:4">
      <c r="A99" s="2607"/>
    </row>
    <row r="100" spans="1:4" ht="15.6" thickBot="1">
      <c r="A100" s="2607"/>
    </row>
    <row r="101" spans="1:4" ht="16.2"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6" thickBot="1">
      <c r="A108" s="2607">
        <f t="shared" si="170"/>
        <v>0</v>
      </c>
      <c r="B108" s="2685"/>
      <c r="C108" s="2708"/>
    </row>
    <row r="109" spans="1:4" ht="15.6" thickBot="1">
      <c r="A109" s="2607" t="str">
        <f>B101&amp;"_"&amp;B109</f>
        <v>Recovery (Confirm in below text 'Allocated' or 'Anticipated')_Total</v>
      </c>
      <c r="B109" s="2675" t="s">
        <v>78</v>
      </c>
      <c r="C109" s="1100">
        <f>SUM(C102:C108)</f>
        <v>0</v>
      </c>
      <c r="D109" s="1467" t="str">
        <f>IF(C109-E46=0,"","check")</f>
        <v/>
      </c>
    </row>
    <row r="110" spans="1:4">
      <c r="A110" s="2607"/>
    </row>
    <row r="111" spans="1:4" ht="15.6" thickBot="1">
      <c r="A111" s="2607"/>
    </row>
    <row r="112" spans="1:4" ht="16.2"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6" thickBot="1">
      <c r="A119" s="2607">
        <f t="shared" si="171"/>
        <v>0</v>
      </c>
      <c r="B119" s="2685"/>
      <c r="C119" s="2708"/>
    </row>
    <row r="120" spans="1:4" ht="15.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1640625" defaultRowHeight="15"/>
  <cols>
    <col min="1" max="1" width="3.1796875" style="1680" customWidth="1"/>
    <col min="2" max="2" width="99.81640625" customWidth="1"/>
    <col min="20" max="20" width="100.08984375" customWidth="1"/>
    <col min="21" max="21" width="71.1796875" customWidth="1"/>
  </cols>
  <sheetData>
    <row r="1" spans="1:37" ht="30">
      <c r="A1" s="84"/>
      <c r="B1" s="79" t="str">
        <f>Summary!A1</f>
        <v>Public Health Wales Trust</v>
      </c>
      <c r="C1" s="80"/>
      <c r="D1" s="80"/>
      <c r="E1" s="80"/>
      <c r="F1" s="80"/>
      <c r="G1" s="80"/>
      <c r="H1" s="80"/>
      <c r="I1" s="80"/>
      <c r="J1" s="80"/>
      <c r="K1" s="80"/>
      <c r="L1" s="80"/>
      <c r="M1" s="150" t="s">
        <v>51</v>
      </c>
      <c r="N1" s="954" t="str">
        <f>+Summary!H1</f>
        <v>Jul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6">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6">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4.6">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6">
      <c r="A5" s="84"/>
      <c r="B5" s="70" t="s">
        <v>494</v>
      </c>
      <c r="C5" s="324">
        <f>VLOOKUP(Summary!H1,Summary!V1:W12,2,FALSE)</f>
        <v>4</v>
      </c>
      <c r="D5" s="324">
        <f>VLOOKUP(Summary!H1,Summary!V1:W12,2,FALSE)</f>
        <v>4</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5.6" thickBot="1">
      <c r="A6" s="84"/>
      <c r="B6" s="80"/>
      <c r="C6" s="107">
        <f t="shared" ref="C6:N6" si="1">IF(C7&lt;=$C$5,1,0)</f>
        <v>1</v>
      </c>
      <c r="D6" s="107">
        <f t="shared" si="1"/>
        <v>1</v>
      </c>
      <c r="E6" s="107">
        <f t="shared" si="1"/>
        <v>1</v>
      </c>
      <c r="F6" s="107">
        <f t="shared" si="1"/>
        <v>1</v>
      </c>
      <c r="G6" s="107">
        <f t="shared" si="1"/>
        <v>0</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5.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6">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5.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5.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5.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960.66666666666652</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960.66666666666652</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6"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5.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-960.66666666666652</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6">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6">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810</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810</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6"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5.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-810</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-810</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6">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6">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5.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6">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6">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6">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6">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6">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6">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6">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6">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1770.6666666666667</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1770.6666666666667</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6"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-1770.6666666666667</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-1770.6666666666667</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545.17999999999995</v>
      </c>
      <c r="H212" s="1109">
        <f>'B - Monthly Positions'!I77+'B - Monthly Positions'!I82</f>
        <v>545.17999999999995</v>
      </c>
      <c r="I212" s="1109">
        <f>'B - Monthly Positions'!J77+'B - Monthly Positions'!J82</f>
        <v>545.17999999999995</v>
      </c>
      <c r="J212" s="1109">
        <f>'B - Monthly Positions'!K77+'B - Monthly Positions'!K82</f>
        <v>545.17999999999995</v>
      </c>
      <c r="K212" s="1109">
        <f>'B - Monthly Positions'!L77+'B - Monthly Positions'!L82</f>
        <v>545.17999999999995</v>
      </c>
      <c r="L212" s="1109">
        <f>'B - Monthly Positions'!M77+'B - Monthly Positions'!M82</f>
        <v>545.17999999999995</v>
      </c>
      <c r="M212" s="1109">
        <f>'B - Monthly Positions'!N77+'B - Monthly Positions'!N82</f>
        <v>545.17999999999995</v>
      </c>
      <c r="N212" s="1109">
        <f>'B - Monthly Positions'!O77+'B - Monthly Positions'!O82</f>
        <v>545.17999999999995</v>
      </c>
      <c r="O212" s="1109">
        <f>SUMPRODUCT($C$6:$N$6,C212:N212)</f>
        <v>2180.4709999999995</v>
      </c>
      <c r="P212" s="1100">
        <f>SUM(C212:N212)</f>
        <v>6541.9110000000001</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6">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6">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19352.22126876175</v>
      </c>
      <c r="H226" s="1282">
        <f>SUM('B - Monthly Positions'!I12:I16)-H227</f>
        <v>19486.363593371585</v>
      </c>
      <c r="I226" s="1282">
        <f>SUM('B - Monthly Positions'!J12:J16)-I227</f>
        <v>20078.820070619673</v>
      </c>
      <c r="J226" s="1282">
        <f>SUM('B - Monthly Positions'!K12:K16)-J227</f>
        <v>19805.060604846996</v>
      </c>
      <c r="K226" s="1282">
        <f>SUM('B - Monthly Positions'!L12:L16)-K227</f>
        <v>20185.062570619673</v>
      </c>
      <c r="L226" s="1282">
        <f>SUM('B - Monthly Positions'!M12:M16)-L227</f>
        <v>19874.332070619672</v>
      </c>
      <c r="M226" s="1282">
        <f>SUM('B - Monthly Positions'!N12:N16)-M227</f>
        <v>19848.176239074317</v>
      </c>
      <c r="N226" s="1282">
        <f>SUM('B - Monthly Positions'!O12:O16)-N227</f>
        <v>24279.217495619672</v>
      </c>
      <c r="O226" s="1231">
        <f t="shared" si="99"/>
        <v>76535</v>
      </c>
      <c r="P226" s="1100">
        <f t="shared" si="100"/>
        <v>239444.25391353335</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6">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6">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6">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35" sqref="B35"/>
    </sheetView>
  </sheetViews>
  <sheetFormatPr defaultRowHeight="15"/>
  <cols>
    <col min="1" max="1" width="89.1796875" bestFit="1" customWidth="1"/>
    <col min="2" max="2" width="102.08984375" customWidth="1"/>
  </cols>
  <sheetData>
    <row r="1" spans="1:24" ht="21.6">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6">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2.8">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JUL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2.8">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2.8">
      <c r="A25" s="1867" t="str">
        <f>"TOTAL ERRORS FOR YOUR "&amp;B4&amp;" RETURN IS "</f>
        <v xml:space="preserve">TOTAL ERRORS FOR YOUR JUL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6">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6">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6">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6">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6">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6">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6">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6">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6">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6">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6">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6">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1640625" defaultRowHeight="15"/>
  <cols>
    <col min="1" max="1" width="6.81640625" style="1467" customWidth="1"/>
    <col min="2" max="2" width="59.1796875" style="1467" customWidth="1"/>
    <col min="3" max="8" width="10.81640625" style="1467" customWidth="1"/>
    <col min="9" max="21" width="8.81640625" style="1467"/>
    <col min="22" max="22" width="10.1796875" style="1467" customWidth="1"/>
    <col min="23" max="25" width="8.81640625" style="1467"/>
    <col min="26" max="26" width="8.81640625" style="2589"/>
    <col min="27" max="27" width="9.54296875" style="1467" customWidth="1"/>
    <col min="28" max="16384" width="8.81640625" style="1467"/>
  </cols>
  <sheetData>
    <row r="1" spans="1:29" ht="30">
      <c r="A1" s="2567" t="s">
        <v>373</v>
      </c>
      <c r="B1" s="2568"/>
      <c r="C1" s="2569"/>
      <c r="D1" s="2570"/>
      <c r="E1" s="2570"/>
      <c r="F1" s="2570"/>
      <c r="G1" s="2571" t="s">
        <v>51</v>
      </c>
      <c r="H1" s="2572" t="s">
        <v>1214</v>
      </c>
      <c r="I1" s="2570"/>
      <c r="J1" s="2570"/>
      <c r="K1" s="2573">
        <f>VLOOKUP(Summary!$H$1,Summary!$V$1:$W$12,2,0)</f>
        <v>4</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6">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6">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1">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6">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157</v>
      </c>
      <c r="D11" s="1154">
        <f>'A - Movement'!C50</f>
        <v>4.0000015815166989E-5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6">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6">
      <c r="B199" s="2591" t="s">
        <v>52</v>
      </c>
    </row>
    <row r="200" spans="2:2" ht="15.6">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
  <cols>
    <col min="1" max="1" width="4.1796875" customWidth="1"/>
    <col min="2" max="2" width="97.54296875" customWidth="1"/>
    <col min="3" max="3" width="11.81640625" customWidth="1"/>
    <col min="4" max="4" width="10.1796875" customWidth="1"/>
    <col min="5" max="5" width="11.08984375" customWidth="1"/>
    <col min="6" max="6" width="10.81640625" customWidth="1"/>
    <col min="7" max="8" width="3.08984375" customWidth="1"/>
    <col min="9" max="9" width="3.81640625" customWidth="1"/>
    <col min="21" max="21" width="9.08984375" customWidth="1"/>
    <col min="25" max="27" width="8.81640625" customWidth="1"/>
  </cols>
  <sheetData>
    <row r="1" spans="1:66" ht="17.399999999999999">
      <c r="A1" s="127" t="str">
        <f>+Summary!A1</f>
        <v>Public Health Wales Trust</v>
      </c>
      <c r="B1" s="150"/>
      <c r="C1" s="150"/>
      <c r="D1" s="150"/>
      <c r="E1" s="150" t="s">
        <v>51</v>
      </c>
      <c r="F1" s="954" t="str">
        <f>+Summary!H1</f>
        <v>Jul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2">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-11205.333333333334</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-4746.9116764278751</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9434.6666666666679</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4746.9114864278745</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1770.6666666666667</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6">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-1.8999999997504347E-4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-1430.9224074426691</v>
      </c>
      <c r="D32" s="1130">
        <f t="shared" si="16"/>
        <v>-1430.9224074426691</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51.065034510854048</v>
      </c>
      <c r="O32" s="1130">
        <f>'B3 - COVID-19'!H155</f>
        <v>-206.80675788783424</v>
      </c>
      <c r="P32" s="1130">
        <f>'B3 - COVID-19'!I155</f>
        <v>31.990123633854637</v>
      </c>
      <c r="Q32" s="1130">
        <f>'B3 - COVID-19'!J155</f>
        <v>35.012229005392328</v>
      </c>
      <c r="R32" s="1130">
        <f>'B3 - COVID-19'!K155</f>
        <v>-226.3297680328119</v>
      </c>
      <c r="S32" s="1130">
        <f>'B3 - COVID-19'!L155</f>
        <v>56.490123633854637</v>
      </c>
      <c r="T32" s="1130">
        <f>'B3 - COVID-19'!M155</f>
        <v>20.519284376929818</v>
      </c>
      <c r="U32" s="1130">
        <f>'B3 - COVID-19'!N155</f>
        <v>-216.42568025503397</v>
      </c>
      <c r="V32" s="1130">
        <f>SUMPRODUCT('B - Monthly Positions'!$D$7:$O$7,J32:U32)</f>
        <v>-976.43699642787442</v>
      </c>
      <c r="W32" s="1130">
        <f t="shared" si="13"/>
        <v>-1430.9224074426691</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1430.9226374426692</v>
      </c>
      <c r="D34" s="1130">
        <f t="shared" si="16"/>
        <v>1430.9226374426692</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-51.065034510854048</v>
      </c>
      <c r="O34" s="1130">
        <f>'B3 - COVID-19'!H149</f>
        <v>206.80675788783424</v>
      </c>
      <c r="P34" s="1130">
        <f>'B3 - COVID-19'!I149</f>
        <v>-31.990123633854637</v>
      </c>
      <c r="Q34" s="1130">
        <f>'B3 - COVID-19'!J149</f>
        <v>-35.012229005392328</v>
      </c>
      <c r="R34" s="1130">
        <f>'B3 - COVID-19'!K149</f>
        <v>226.3297680328119</v>
      </c>
      <c r="S34" s="1130">
        <f>'B3 - COVID-19'!L149</f>
        <v>-56.490123633854637</v>
      </c>
      <c r="T34" s="1130">
        <f>'B3 - COVID-19'!M149</f>
        <v>-20.519284376929818</v>
      </c>
      <c r="U34" s="1130">
        <f>'B3 - COVID-19'!N149</f>
        <v>216.42568025503397</v>
      </c>
      <c r="V34" s="1130">
        <f>SUMPRODUCT('B - Monthly Positions'!$D$7:$O$7,J34:U34)</f>
        <v>976.43722642787452</v>
      </c>
      <c r="W34" s="1130">
        <f t="shared" si="13"/>
        <v>1430.9226374426692</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c r="O36" s="953"/>
      <c r="P36" s="953"/>
      <c r="Q36" s="953"/>
      <c r="R36" s="953"/>
      <c r="S36" s="953"/>
      <c r="T36" s="953"/>
      <c r="U36" s="953">
        <v>-157</v>
      </c>
      <c r="V36" s="1130">
        <f>SUMPRODUCT('B - Monthly Positions'!$D$7:$O$7,J36:U36)</f>
        <v>157</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6">
      <c r="A50" s="949">
        <f t="shared" si="26"/>
        <v>40</v>
      </c>
      <c r="B50" s="952" t="s">
        <v>33</v>
      </c>
      <c r="C50" s="950">
        <f>SUM(C24:C49)</f>
        <v>4.0000015815166989E-5</v>
      </c>
      <c r="D50" s="950">
        <f>SUM(D24:D49)</f>
        <v>4.0000015815166989E-5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3.694822225952521E-13</v>
      </c>
      <c r="O50" s="950">
        <f t="shared" si="29"/>
        <v>-8.5265128291212022E-14</v>
      </c>
      <c r="P50" s="950">
        <f t="shared" si="29"/>
        <v>-8.5265128291212022E-14</v>
      </c>
      <c r="Q50" s="950">
        <f t="shared" si="29"/>
        <v>5.9685589803848416E-13</v>
      </c>
      <c r="R50" s="950">
        <f t="shared" si="29"/>
        <v>1.4210854715202004E-13</v>
      </c>
      <c r="S50" s="950">
        <f t="shared" si="29"/>
        <v>-8.5265128291212022E-14</v>
      </c>
      <c r="T50" s="950">
        <f t="shared" si="29"/>
        <v>1.4210854715202004E-13</v>
      </c>
      <c r="U50" s="950">
        <f t="shared" si="29"/>
        <v>-157.00000000000031</v>
      </c>
      <c r="V50" s="950">
        <f>SUMPRODUCT('B - Monthly Positions'!$D$7:$O$7,J50:U50)</f>
        <v>157.00004000000052</v>
      </c>
      <c r="W50" s="950">
        <f>SUM(J50:U50)</f>
        <v>4.0000001206408342E-5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6">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6">
      <c r="A54" s="949">
        <f>A52+1</f>
        <v>42</v>
      </c>
      <c r="B54" s="2481" t="s">
        <v>1028</v>
      </c>
      <c r="C54" s="950">
        <f>C50-C52</f>
        <v>1.5802470443304628E-11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3.694822225952521E-13</v>
      </c>
      <c r="O54" s="950">
        <f t="shared" si="30"/>
        <v>-8.5265128291212022E-14</v>
      </c>
      <c r="P54" s="950">
        <f t="shared" si="30"/>
        <v>-8.5265128291212022E-14</v>
      </c>
      <c r="Q54" s="950">
        <f t="shared" si="30"/>
        <v>5.9685589803848416E-13</v>
      </c>
      <c r="R54" s="950">
        <f t="shared" si="30"/>
        <v>1.4210854715202004E-13</v>
      </c>
      <c r="S54" s="950">
        <f t="shared" si="30"/>
        <v>-8.5265128291212022E-14</v>
      </c>
      <c r="T54" s="950">
        <f t="shared" si="30"/>
        <v>1.4210854715202004E-13</v>
      </c>
      <c r="U54" s="950">
        <f t="shared" si="30"/>
        <v>-157.00000000000031</v>
      </c>
      <c r="V54" s="950">
        <f t="shared" si="30"/>
        <v>157.00000000000051</v>
      </c>
      <c r="W54" s="950">
        <f>SUM(J54:U54)</f>
        <v>1.1937117960769683E-12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1640625" defaultRowHeight="14.4"/>
  <cols>
    <col min="1" max="1" width="3.81640625" style="1417" customWidth="1"/>
    <col min="2" max="2" width="72.1796875" style="1417" customWidth="1"/>
    <col min="3" max="3" width="9.08984375" style="1417" customWidth="1"/>
    <col min="4" max="5" width="9.453125" style="1417" customWidth="1"/>
    <col min="6" max="6" width="8.81640625" style="1417"/>
    <col min="7" max="7" width="11.1796875" style="1417" customWidth="1"/>
    <col min="8" max="8" width="8.81640625" style="1417" customWidth="1"/>
    <col min="9" max="15" width="8.81640625" style="1417"/>
    <col min="16" max="16" width="93.1796875" style="1417" bestFit="1" customWidth="1"/>
    <col min="17" max="17" width="67.81640625" style="1417" customWidth="1"/>
    <col min="18" max="16384" width="8.81640625" style="1417"/>
  </cols>
  <sheetData>
    <row r="1" spans="1:18" ht="17.399999999999999">
      <c r="A1" s="127" t="str">
        <f>+Summary!A1</f>
        <v>Public Health Wales Trust</v>
      </c>
      <c r="B1" s="150"/>
      <c r="C1" s="1377"/>
      <c r="D1" s="1377"/>
      <c r="E1" s="1378"/>
      <c r="F1" s="1378"/>
      <c r="G1" s="1377" t="s">
        <v>51</v>
      </c>
      <c r="H1" s="1416" t="str">
        <f>+Summary!H1</f>
        <v>Jul 23</v>
      </c>
      <c r="P1" s="768" t="s">
        <v>557</v>
      </c>
      <c r="Q1" s="955" t="s">
        <v>205</v>
      </c>
      <c r="R1" s="71"/>
    </row>
    <row r="2" spans="1:18" ht="15.6">
      <c r="A2" s="70"/>
      <c r="B2" s="163"/>
      <c r="C2" s="1124"/>
      <c r="D2" s="1378"/>
      <c r="E2" s="1378"/>
      <c r="F2" s="1378"/>
      <c r="G2" s="1378"/>
      <c r="H2" s="1378"/>
      <c r="P2" s="71"/>
      <c r="Q2" s="71"/>
      <c r="R2" s="765"/>
    </row>
    <row r="3" spans="1:18" ht="15.6">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6">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6">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6">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2.8">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2.8">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C21" sqref="C21"/>
    </sheetView>
  </sheetViews>
  <sheetFormatPr defaultColWidth="8.81640625" defaultRowHeight="15"/>
  <cols>
    <col min="1" max="1" width="3.08984375" customWidth="1"/>
    <col min="2" max="2" width="70.08984375" customWidth="1"/>
    <col min="3" max="3" width="13.81640625" customWidth="1"/>
    <col min="4" max="4" width="10.1796875" bestFit="1" customWidth="1"/>
    <col min="5" max="6" width="8.81640625" style="759"/>
    <col min="7" max="7" width="51.453125" style="759" customWidth="1"/>
    <col min="8" max="8" width="65.81640625" style="759" bestFit="1" customWidth="1"/>
    <col min="9" max="9" width="25.81640625" customWidth="1"/>
  </cols>
  <sheetData>
    <row r="1" spans="1:26" ht="30">
      <c r="A1" s="79" t="str">
        <f>+Summary!A1</f>
        <v>Public Health Wales Trust</v>
      </c>
      <c r="B1" s="71"/>
      <c r="C1" s="70" t="s">
        <v>80</v>
      </c>
      <c r="D1" s="151" t="str">
        <f>+Summary!H1</f>
        <v>Jul 23</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-979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4.0000015815166989E-5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4.0000015815166989E-5</v>
      </c>
      <c r="D47" s="2602"/>
      <c r="E47" s="2606"/>
      <c r="F47" s="2606"/>
      <c r="G47" s="2606"/>
    </row>
    <row r="48" spans="1:26" ht="15.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 customHeight="1" thickBot="1">
      <c r="A49" s="119">
        <f>A47+1</f>
        <v>37</v>
      </c>
      <c r="B49" s="1737" t="s">
        <v>875</v>
      </c>
      <c r="C49" s="117">
        <f>IF(C10+C34+C43&gt;0,C45,C45+C10+C34+C43)</f>
        <v>-978.99995999998418</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 customHeight="1" thickBot="1">
      <c r="A51" s="119">
        <f>A49+1</f>
        <v>38</v>
      </c>
      <c r="B51" s="1737" t="s">
        <v>876</v>
      </c>
      <c r="C51" s="117">
        <f>C45+C10+C43</f>
        <v>4.0000015815166989E-5</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110" zoomScaleNormal="110" workbookViewId="0">
      <pane xSplit="3" ySplit="10" topLeftCell="I11" activePane="bottomRight" state="frozen"/>
      <selection pane="topRight" activeCell="D1" sqref="D1"/>
      <selection pane="bottomLeft" activeCell="A11" sqref="A11"/>
      <selection pane="bottomRight" activeCell="I11" sqref="I11"/>
    </sheetView>
  </sheetViews>
  <sheetFormatPr defaultColWidth="8.81640625" defaultRowHeight="13.2"/>
  <cols>
    <col min="1" max="1" width="5" style="9" customWidth="1"/>
    <col min="2" max="2" width="62.453125" style="9" customWidth="1"/>
    <col min="3" max="3" width="20.81640625" style="9" customWidth="1"/>
    <col min="4" max="15" width="11.81640625" style="9" customWidth="1"/>
    <col min="16" max="16" width="8.81640625" style="9"/>
    <col min="17" max="17" width="12.1796875" style="9" customWidth="1"/>
    <col min="18" max="18" width="9.81640625" style="9" customWidth="1"/>
    <col min="19" max="22" width="8.81640625" style="9"/>
    <col min="23" max="23" width="150.08984375" style="9" customWidth="1"/>
    <col min="24" max="24" width="40.81640625" style="9" customWidth="1"/>
    <col min="25" max="25" width="8.81640625" style="750"/>
    <col min="26" max="29" width="8.81640625" style="9"/>
    <col min="30" max="30" width="9.1796875" style="9" customWidth="1"/>
    <col min="31" max="31" width="17.81640625" style="9" customWidth="1"/>
    <col min="32" max="16384" width="8.8164062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Jul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2.8">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Jul 23</v>
      </c>
      <c r="AC2" s="1123">
        <f t="shared" ref="AC2:AC9" si="0">IF(AA2=AB2,1,0)</f>
        <v>1</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Jul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Jul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Jul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6">
      <c r="A5" s="80"/>
      <c r="B5" s="613"/>
      <c r="C5" s="111">
        <f>VLOOKUP(Summary!H1,Summary!V1:W12,2,FALSE)</f>
        <v>4</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Jul 23</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6">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Jul 23</v>
      </c>
      <c r="AC6" s="1123">
        <f t="shared" si="0"/>
        <v>0</v>
      </c>
      <c r="AD6" s="82"/>
      <c r="AE6" s="82"/>
      <c r="AF6" s="82"/>
      <c r="AG6" s="271" t="str">
        <f>Summary!V6</f>
        <v>Sep 23</v>
      </c>
      <c r="AH6" s="111">
        <f>SUM($D$37:$H$37)</f>
        <v>156.9120000000039</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5.6" thickBot="1">
      <c r="A7" s="82"/>
      <c r="B7" s="83"/>
      <c r="C7" s="612"/>
      <c r="D7" s="107">
        <f>IF(D8&lt;=$C$5,1,0)</f>
        <v>1</v>
      </c>
      <c r="E7" s="107">
        <f t="shared" ref="E7:O7" si="2">IF(E8&lt;=$C$5,1,0)</f>
        <v>1</v>
      </c>
      <c r="F7" s="107">
        <f t="shared" si="2"/>
        <v>1</v>
      </c>
      <c r="G7" s="107">
        <f t="shared" si="2"/>
        <v>1</v>
      </c>
      <c r="H7" s="107">
        <f t="shared" si="2"/>
        <v>0</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Jul 23</v>
      </c>
      <c r="AC7" s="1123">
        <f t="shared" si="0"/>
        <v>0</v>
      </c>
      <c r="AD7" s="82"/>
      <c r="AE7" s="82"/>
      <c r="AF7" s="82"/>
      <c r="AG7" s="271" t="str">
        <f>Summary!V7</f>
        <v>Oct 23</v>
      </c>
      <c r="AH7" s="111">
        <f>SUM($D$37:$I$37)</f>
        <v>157.29500000000553</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5.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Jul 23</v>
      </c>
      <c r="AC8" s="1123">
        <f t="shared" si="0"/>
        <v>0</v>
      </c>
      <c r="AD8" s="84"/>
      <c r="AE8" s="84"/>
      <c r="AF8" s="84"/>
      <c r="AG8" s="271" t="str">
        <f>Summary!V8</f>
        <v>Nov 23</v>
      </c>
      <c r="AH8" s="111">
        <f>SUM($D$37:$J$37)</f>
        <v>157.37700000000768</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Jul 23</v>
      </c>
      <c r="AC9" s="1123">
        <f t="shared" si="0"/>
        <v>0</v>
      </c>
      <c r="AD9" s="298"/>
      <c r="AE9" s="298"/>
      <c r="AF9" s="298"/>
      <c r="AG9" s="271" t="str">
        <f>Summary!V9</f>
        <v>Dec 23</v>
      </c>
      <c r="AH9" s="111">
        <f>SUM($D$37:$K$37)</f>
        <v>157.45700000000943</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Jul 23</v>
      </c>
      <c r="AC10" s="1123">
        <f>SUM(AC1:AC9)</f>
        <v>1</v>
      </c>
      <c r="AD10" s="298"/>
      <c r="AE10" s="298"/>
      <c r="AF10" s="298"/>
      <c r="AG10" s="271" t="str">
        <f>Summary!V10</f>
        <v>Jan 24</v>
      </c>
      <c r="AH10" s="111">
        <f>SUM($D$37:$L$37)</f>
        <v>157.54400000000896</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157.63800000000992</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157.57200000001103</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v>1958</v>
      </c>
      <c r="I13" s="891">
        <v>1958</v>
      </c>
      <c r="J13" s="891">
        <v>1951</v>
      </c>
      <c r="K13" s="891">
        <v>1945</v>
      </c>
      <c r="L13" s="891">
        <v>1945</v>
      </c>
      <c r="M13" s="891">
        <v>1945</v>
      </c>
      <c r="N13" s="891">
        <v>1945</v>
      </c>
      <c r="O13" s="1065">
        <v>1945</v>
      </c>
      <c r="P13" s="74">
        <f>SUMPRODUCT($D$7:$O$7,D13:O13)</f>
        <v>8307</v>
      </c>
      <c r="Q13" s="1066">
        <f>P13+SUMPRODUCT(1-$D$7:$O$7,D13:O13)</f>
        <v>23899</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v>18</v>
      </c>
      <c r="I14" s="891">
        <v>18</v>
      </c>
      <c r="J14" s="891">
        <v>18</v>
      </c>
      <c r="K14" s="891">
        <v>18</v>
      </c>
      <c r="L14" s="891">
        <v>18</v>
      </c>
      <c r="M14" s="891">
        <v>18</v>
      </c>
      <c r="N14" s="891">
        <v>18</v>
      </c>
      <c r="O14" s="891">
        <v>18</v>
      </c>
      <c r="P14" s="74">
        <f>SUMPRODUCT($D$7:$O$7,D14:O14)</f>
        <v>77</v>
      </c>
      <c r="Q14" s="1066">
        <f>P14+SUMPRODUCT(1-$D$7:$O$7,D14:O14)</f>
        <v>221</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21521.821+'B3 - COVID-19'!G154-5789</f>
        <v>16919.13026876175</v>
      </c>
      <c r="I15" s="891">
        <f>15820.885+'B3 - COVID-19'!H154-175</f>
        <v>17090.865593371585</v>
      </c>
      <c r="J15" s="891">
        <f>15816.495+'B3 - COVID-19'!I154+405</f>
        <v>17692.233070619674</v>
      </c>
      <c r="K15" s="891">
        <f>15816.494+'B3 - COVID-19'!J154+189</f>
        <v>17424.474604846997</v>
      </c>
      <c r="L15" s="891">
        <f>15816.495+'B3 - COVID-19'!K154+306</f>
        <v>17804.470570619673</v>
      </c>
      <c r="M15" s="891">
        <f>15816.502+'B3 - COVID-19'!L154+206</f>
        <v>17495.740070619671</v>
      </c>
      <c r="N15" s="891">
        <f>15811.843+'B3 - COVID-19'!M154+275</f>
        <v>17472.085239074317</v>
      </c>
      <c r="O15" s="1065">
        <f>15812.308+'B3 - COVID-19'!N154+4424</f>
        <v>21903.446495619672</v>
      </c>
      <c r="P15" s="74">
        <f>SUMPRODUCT($D$7:$O$7,D15:O15)</f>
        <v>65849</v>
      </c>
      <c r="Q15" s="1066">
        <f>P15+SUMPRODUCT(1-$D$7:$O$7,D15:O15)</f>
        <v>209651.4459135333</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v>457.09100000000001</v>
      </c>
      <c r="I16" s="891">
        <v>419.49799999999999</v>
      </c>
      <c r="J16" s="891">
        <v>417.58699999999999</v>
      </c>
      <c r="K16" s="891">
        <v>417.58600000000001</v>
      </c>
      <c r="L16" s="891">
        <v>417.59199999999998</v>
      </c>
      <c r="M16" s="891">
        <v>415.59199999999998</v>
      </c>
      <c r="N16" s="891">
        <v>413.09100000000001</v>
      </c>
      <c r="O16" s="1065">
        <v>412.77100000000002</v>
      </c>
      <c r="P16" s="1072">
        <f t="shared" si="3"/>
        <v>2302</v>
      </c>
      <c r="Q16" s="1066">
        <f t="shared" si="4"/>
        <v>5672.808</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19352.22126876175</v>
      </c>
      <c r="I17" s="1109">
        <f t="shared" si="6"/>
        <v>19486.363593371585</v>
      </c>
      <c r="J17" s="1109">
        <f t="shared" si="6"/>
        <v>20078.820070619673</v>
      </c>
      <c r="K17" s="1109">
        <f t="shared" si="6"/>
        <v>19805.060604846996</v>
      </c>
      <c r="L17" s="1109">
        <f t="shared" si="6"/>
        <v>20185.062570619673</v>
      </c>
      <c r="M17" s="1109">
        <f t="shared" si="6"/>
        <v>19874.332070619672</v>
      </c>
      <c r="N17" s="1109">
        <f t="shared" si="6"/>
        <v>19848.176239074317</v>
      </c>
      <c r="O17" s="1109">
        <f t="shared" si="6"/>
        <v>24279.217495619672</v>
      </c>
      <c r="P17" s="1100">
        <f t="shared" si="3"/>
        <v>76535</v>
      </c>
      <c r="Q17" s="1132">
        <f t="shared" si="4"/>
        <v>239444.25391353332</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239444.25391353335</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10717+'B3 - COVID-19'!G19+'B3 - COVID-19'!G62</f>
        <v>10913.532233333333</v>
      </c>
      <c r="I20" s="891">
        <f>10763+'B3 - COVID-19'!H19+'B3 - COVID-19'!H62</f>
        <v>10993.259676666667</v>
      </c>
      <c r="J20" s="891">
        <f>10865+'B3 - COVID-19'!I19+'B3 - COVID-19'!I62</f>
        <v>11098.102576666666</v>
      </c>
      <c r="K20" s="891">
        <f>10875+'B3 - COVID-19'!J19+'B3 - COVID-19'!J62</f>
        <v>11108.102576666666</v>
      </c>
      <c r="L20" s="891">
        <f>10880+'B3 - COVID-19'!K19+'B3 - COVID-19'!K62</f>
        <v>11113.102576666666</v>
      </c>
      <c r="M20" s="891">
        <f>10875+'B3 - COVID-19'!L19+'B3 - COVID-19'!L62</f>
        <v>11108.102576666666</v>
      </c>
      <c r="N20" s="891">
        <f>10870+'B3 - COVID-19'!M19+'B3 - COVID-19'!M62</f>
        <v>11100.259676666667</v>
      </c>
      <c r="O20" s="891">
        <f>11233+'B3 - COVID-19'!N19+'B3 - COVID-19'!N62</f>
        <v>11461.399441666666</v>
      </c>
      <c r="P20" s="75">
        <f t="shared" si="3"/>
        <v>46747</v>
      </c>
      <c r="Q20" s="1066">
        <f t="shared" si="4"/>
        <v>135642.86133499999</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7449-SUM(H32:H35)+('B3 - COVID-19'!G33+'B3 - COVID-19'!G76+'B3 - COVID-19'!G129)</f>
        <v>7893.5970354284145</v>
      </c>
      <c r="I21" s="891">
        <f>7278-SUM(I32:I35)+('B3 - COVID-19'!H33+'B3 - COVID-19'!H76+'B3 - COVID-19'!H129)</f>
        <v>7947.5409167049183</v>
      </c>
      <c r="J21" s="891">
        <f>7743-SUM(J32:J35)+('B3 - COVID-19'!I33+'B3 - COVID-19'!I76+'B3 - COVID-19'!I129)</f>
        <v>8435.4554939530062</v>
      </c>
      <c r="K21" s="891">
        <f>7511-SUM(K32:K35)+('B3 - COVID-19'!J33+'B3 - COVID-19'!J76+'B3 - COVID-19'!J129)</f>
        <v>8151.698028180328</v>
      </c>
      <c r="L21" s="891">
        <f>7623-SUM(L32:L35)+('B3 - COVID-19'!K33+'B3 - COVID-19'!K76+'B3 - COVID-19'!K129)</f>
        <v>8526.6929939530055</v>
      </c>
      <c r="M21" s="891">
        <f>7526-SUM(M32:M35)+('B3 - COVID-19'!L33+'B3 - COVID-19'!L76+'B3 - COVID-19'!L129)</f>
        <v>8220.9554939530062</v>
      </c>
      <c r="N21" s="891">
        <f>7593-SUM(N32:N35)+('B3 - COVID-19'!M33+'B3 - COVID-19'!M76+'B3 - COVID-19'!M129)</f>
        <v>8202.8025624076508</v>
      </c>
      <c r="O21" s="891">
        <f>11537-SUM(O32:O35)+('B3 - COVID-19'!N33+'B3 - COVID-19'!N76+'B3 - COVID-19'!N129)</f>
        <v>12430.559053953006</v>
      </c>
      <c r="P21" s="75">
        <f t="shared" si="3"/>
        <v>27450.528999999999</v>
      </c>
      <c r="Q21" s="1066">
        <f t="shared" si="4"/>
        <v>97259.830578533336</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135642.86133500002</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97259.83057853335</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518.58999999999992</v>
      </c>
      <c r="I32" s="891">
        <f t="shared" si="7"/>
        <v>518.58999999999992</v>
      </c>
      <c r="J32" s="891">
        <f t="shared" si="7"/>
        <v>518.58999999999992</v>
      </c>
      <c r="K32" s="891">
        <f t="shared" si="7"/>
        <v>518.58999999999992</v>
      </c>
      <c r="L32" s="891">
        <f t="shared" si="7"/>
        <v>518.58999999999992</v>
      </c>
      <c r="M32" s="891">
        <f t="shared" si="7"/>
        <v>518.58999999999992</v>
      </c>
      <c r="N32" s="891">
        <f t="shared" si="7"/>
        <v>518.58999999999992</v>
      </c>
      <c r="O32" s="891">
        <f t="shared" si="7"/>
        <v>518.58999999999992</v>
      </c>
      <c r="P32" s="75">
        <f t="shared" si="3"/>
        <v>2074.1610000000001</v>
      </c>
      <c r="Q32" s="1066">
        <f t="shared" si="4"/>
        <v>6222.8810000000003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26.590000000000003</v>
      </c>
      <c r="I33" s="891">
        <f t="shared" si="8"/>
        <v>26.590000000000003</v>
      </c>
      <c r="J33" s="891">
        <f t="shared" si="8"/>
        <v>26.590000000000003</v>
      </c>
      <c r="K33" s="891">
        <f t="shared" si="8"/>
        <v>26.590000000000003</v>
      </c>
      <c r="L33" s="891">
        <f t="shared" si="8"/>
        <v>26.590000000000003</v>
      </c>
      <c r="M33" s="891">
        <f t="shared" si="8"/>
        <v>26.590000000000003</v>
      </c>
      <c r="N33" s="891">
        <f t="shared" si="8"/>
        <v>26.590000000000003</v>
      </c>
      <c r="O33" s="891">
        <f t="shared" si="8"/>
        <v>26.590000000000003</v>
      </c>
      <c r="P33" s="75">
        <f t="shared" si="3"/>
        <v>106.31</v>
      </c>
      <c r="Q33" s="1066">
        <f t="shared" si="4"/>
        <v>319.03000000000003</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19352.309268761746</v>
      </c>
      <c r="I36" s="1109">
        <f t="shared" si="9"/>
        <v>19485.980593371583</v>
      </c>
      <c r="J36" s="1109">
        <f t="shared" si="9"/>
        <v>20078.738070619671</v>
      </c>
      <c r="K36" s="1109">
        <f t="shared" si="9"/>
        <v>19804.980604846995</v>
      </c>
      <c r="L36" s="1109">
        <f t="shared" si="9"/>
        <v>20184.975570619674</v>
      </c>
      <c r="M36" s="1109">
        <f t="shared" si="9"/>
        <v>19874.238070619671</v>
      </c>
      <c r="N36" s="1109">
        <f t="shared" si="9"/>
        <v>19848.242239074316</v>
      </c>
      <c r="O36" s="1109">
        <f t="shared" si="9"/>
        <v>24437.138495619671</v>
      </c>
      <c r="P36" s="1100">
        <f t="shared" si="3"/>
        <v>76378</v>
      </c>
      <c r="Q36" s="1132">
        <f t="shared" si="4"/>
        <v>239444.60291353331</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-8.7999999996100087E-2</v>
      </c>
      <c r="I37" s="1109">
        <f t="shared" si="10"/>
        <v>0.38300000000162981</v>
      </c>
      <c r="J37" s="1109">
        <f t="shared" si="10"/>
        <v>8.2000000002153683E-2</v>
      </c>
      <c r="K37" s="1109">
        <f t="shared" si="10"/>
        <v>8.000000000174623E-2</v>
      </c>
      <c r="L37" s="1109">
        <f t="shared" si="10"/>
        <v>8.6999999999534339E-2</v>
      </c>
      <c r="M37" s="1109">
        <f t="shared" si="10"/>
        <v>9.4000000000960426E-2</v>
      </c>
      <c r="N37" s="1100">
        <f t="shared" si="10"/>
        <v>-6.5999999998894054E-2</v>
      </c>
      <c r="O37" s="1109">
        <f t="shared" si="10"/>
        <v>-157.92099999999846</v>
      </c>
      <c r="P37" s="1109">
        <f t="shared" si="10"/>
        <v>157</v>
      </c>
      <c r="Q37" s="1100">
        <f t="shared" si="10"/>
        <v>-0.34899999998742715</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7"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217179.69191353332</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2418</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10914+2391</f>
        <v>13305</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232902.69191353332</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19352.309268761746</v>
      </c>
      <c r="I57" s="111">
        <f t="shared" si="12"/>
        <v>19485.980593371583</v>
      </c>
      <c r="J57" s="111">
        <f t="shared" si="12"/>
        <v>20078.738070619671</v>
      </c>
      <c r="K57" s="111">
        <f t="shared" si="12"/>
        <v>19804.980604846995</v>
      </c>
      <c r="L57" s="111">
        <f t="shared" si="12"/>
        <v>20184.975570619674</v>
      </c>
      <c r="M57" s="111">
        <f t="shared" si="12"/>
        <v>19874.238070619671</v>
      </c>
      <c r="N57" s="111">
        <f t="shared" si="12"/>
        <v>19848.242239074316</v>
      </c>
      <c r="O57" s="111">
        <f t="shared" si="12"/>
        <v>24437.138495619671</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157</v>
      </c>
      <c r="F60" s="299"/>
      <c r="G60" s="300"/>
      <c r="H60" s="3199" t="str">
        <f>""&amp;(A37+6)&amp;". Extrapolated Scenario"</f>
        <v>33. Extrapolated Scenario</v>
      </c>
      <c r="I60" s="3200"/>
      <c r="J60" s="3200"/>
      <c r="K60" s="303">
        <f>SUM(E60+(E62*(12-C5)))</f>
        <v>909</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63</v>
      </c>
      <c r="F61" s="1086"/>
      <c r="G61" s="293"/>
      <c r="H61" s="3202" t="str">
        <f>""&amp;(A37+7)&amp;". Year to Date Trend Scenario"</f>
        <v>34. Year to Date Trend Scenario</v>
      </c>
      <c r="I61" s="3203"/>
      <c r="J61" s="3203"/>
      <c r="K61" s="1087">
        <f>SUM(P37/C5)*12</f>
        <v>471</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94</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39.25</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19.625</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6.4">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2"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168.17</v>
      </c>
      <c r="I72" s="963">
        <v>168.17</v>
      </c>
      <c r="J72" s="963">
        <v>168.17</v>
      </c>
      <c r="K72" s="963">
        <v>168.17</v>
      </c>
      <c r="L72" s="963">
        <v>168.17</v>
      </c>
      <c r="M72" s="963">
        <v>168.17</v>
      </c>
      <c r="N72" s="963">
        <v>168.17</v>
      </c>
      <c r="O72" s="963">
        <v>168.17</v>
      </c>
      <c r="P72" s="74">
        <f t="shared" ref="P72:P82" si="13">SUMPRODUCT($D$7:$O$7,D72:O72)</f>
        <v>672.49099999999999</v>
      </c>
      <c r="Q72" s="937">
        <f>P72+SUMPRODUCT(1-$D$7:$O$7,D72:O72)</f>
        <v>2017.8509999999999</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6">
      <c r="A73" s="889">
        <f>A72+1</f>
        <v>42</v>
      </c>
      <c r="B73" s="1097" t="s">
        <v>13</v>
      </c>
      <c r="C73" s="93" t="s">
        <v>288</v>
      </c>
      <c r="D73" s="890"/>
      <c r="E73" s="891">
        <v>452.5</v>
      </c>
      <c r="F73" s="891">
        <v>226.25</v>
      </c>
      <c r="G73" s="891">
        <v>226.25</v>
      </c>
      <c r="H73" s="891">
        <v>226.25</v>
      </c>
      <c r="I73" s="891">
        <v>226.25</v>
      </c>
      <c r="J73" s="891">
        <v>226.25</v>
      </c>
      <c r="K73" s="891">
        <v>226.25</v>
      </c>
      <c r="L73" s="891">
        <v>226.25</v>
      </c>
      <c r="M73" s="891">
        <v>226.25</v>
      </c>
      <c r="N73" s="891">
        <v>226.25</v>
      </c>
      <c r="O73" s="1065">
        <v>226.25</v>
      </c>
      <c r="P73" s="74">
        <f t="shared" si="13"/>
        <v>905</v>
      </c>
      <c r="Q73" s="1066">
        <f>P73+SUMPRODUCT(1-$D$7:$O$7,D73:O73)</f>
        <v>2715</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496.67</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518.58999999999992</v>
      </c>
      <c r="I77" s="1137">
        <f t="shared" si="15"/>
        <v>518.58999999999992</v>
      </c>
      <c r="J77" s="1137">
        <f t="shared" si="15"/>
        <v>518.58999999999992</v>
      </c>
      <c r="K77" s="1137">
        <f t="shared" si="15"/>
        <v>518.58999999999992</v>
      </c>
      <c r="L77" s="1137">
        <f t="shared" si="15"/>
        <v>518.58999999999992</v>
      </c>
      <c r="M77" s="1137">
        <f t="shared" si="15"/>
        <v>518.58999999999992</v>
      </c>
      <c r="N77" s="1137">
        <f t="shared" si="15"/>
        <v>518.58999999999992</v>
      </c>
      <c r="O77" s="1137">
        <f t="shared" si="15"/>
        <v>518.58999999999992</v>
      </c>
      <c r="P77" s="1100">
        <f t="shared" si="13"/>
        <v>2074.1610000000001</v>
      </c>
      <c r="Q77" s="1132">
        <f t="shared" si="14"/>
        <v>6222.8810000000003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10.17</v>
      </c>
      <c r="I79" s="964">
        <v>10.17</v>
      </c>
      <c r="J79" s="964">
        <v>10.17</v>
      </c>
      <c r="K79" s="964">
        <v>10.17</v>
      </c>
      <c r="L79" s="964">
        <v>10.17</v>
      </c>
      <c r="M79" s="964">
        <v>10.17</v>
      </c>
      <c r="N79" s="964">
        <v>10.17</v>
      </c>
      <c r="O79" s="1104">
        <v>10.17</v>
      </c>
      <c r="P79" s="1080">
        <f t="shared" si="13"/>
        <v>40.64</v>
      </c>
      <c r="Q79" s="1066">
        <f t="shared" si="14"/>
        <v>122</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65.67</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26.590000000000003</v>
      </c>
      <c r="I82" s="1137">
        <f t="shared" si="16"/>
        <v>26.590000000000003</v>
      </c>
      <c r="J82" s="1137">
        <f t="shared" si="16"/>
        <v>26.590000000000003</v>
      </c>
      <c r="K82" s="1137">
        <f t="shared" si="16"/>
        <v>26.590000000000003</v>
      </c>
      <c r="L82" s="1137">
        <f t="shared" si="16"/>
        <v>26.590000000000003</v>
      </c>
      <c r="M82" s="1137">
        <f t="shared" si="16"/>
        <v>26.590000000000003</v>
      </c>
      <c r="N82" s="1137">
        <f t="shared" si="16"/>
        <v>26.590000000000003</v>
      </c>
      <c r="O82" s="1137">
        <f t="shared" si="16"/>
        <v>26.590000000000003</v>
      </c>
      <c r="P82" s="1100">
        <f t="shared" si="13"/>
        <v>106.31</v>
      </c>
      <c r="Q82" s="1132">
        <f t="shared" si="14"/>
        <v>319.03000000000003</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6.4">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6.4">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6" thickBot="1">
      <c r="A96" s="144">
        <f>+A89+1</f>
        <v>52</v>
      </c>
      <c r="B96" s="3001" t="s">
        <v>1393</v>
      </c>
      <c r="C96" s="1108" t="s">
        <v>288</v>
      </c>
      <c r="D96" s="3002">
        <v>75</v>
      </c>
      <c r="E96" s="2501">
        <v>49</v>
      </c>
      <c r="F96" s="2501">
        <f>154-SUM(D96:E96)</f>
        <v>30</v>
      </c>
      <c r="G96" s="2501">
        <f>175-SUM(D96:F96)</f>
        <v>21</v>
      </c>
      <c r="H96" s="2501">
        <v>32</v>
      </c>
      <c r="I96" s="2501">
        <v>32</v>
      </c>
      <c r="J96" s="2501">
        <v>32</v>
      </c>
      <c r="K96" s="2501">
        <v>32</v>
      </c>
      <c r="L96" s="2501">
        <v>32</v>
      </c>
      <c r="M96" s="2501">
        <v>32</v>
      </c>
      <c r="N96" s="2501">
        <v>32</v>
      </c>
      <c r="O96" s="2501">
        <v>32</v>
      </c>
      <c r="P96" s="1100">
        <f>SUMPRODUCT($D$7:$O$7,D96:O96)</f>
        <v>175</v>
      </c>
      <c r="Q96" s="1132">
        <f>P96+SUMPRODUCT(1-$D$7:$O$7,D96:O96)</f>
        <v>431</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6.4">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topLeftCell="A4" zoomScale="90" zoomScaleNormal="90" workbookViewId="0">
      <selection activeCell="G12" sqref="G12"/>
    </sheetView>
  </sheetViews>
  <sheetFormatPr defaultColWidth="8.81640625" defaultRowHeight="14.4"/>
  <cols>
    <col min="1" max="2" width="8.81640625" style="2864"/>
    <col min="3" max="3" width="61.1796875" style="2864" bestFit="1" customWidth="1"/>
    <col min="4" max="15" width="8.1796875" style="2864" customWidth="1"/>
    <col min="16" max="17" width="8.81640625" style="2864"/>
    <col min="18" max="18" width="7.08984375" style="2864" customWidth="1"/>
    <col min="19" max="21" width="7.81640625" style="2864" customWidth="1"/>
    <col min="22" max="22" width="2.453125" style="2864" customWidth="1"/>
    <col min="23" max="25" width="7.81640625" style="2864" customWidth="1"/>
    <col min="26" max="26" width="2.453125" style="2864" customWidth="1"/>
    <col min="27" max="27" width="16.08984375" style="2864" customWidth="1"/>
    <col min="28" max="16384" width="8.8164062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Jul 23</v>
      </c>
      <c r="AE1" s="1123">
        <f>IF(AC1=AD1,1,0)</f>
        <v>0</v>
      </c>
      <c r="AF1" s="80"/>
      <c r="AG1" s="80"/>
      <c r="AH1" s="80"/>
      <c r="AI1" s="271" t="str">
        <f>Summary!V1</f>
        <v>Apr 23</v>
      </c>
      <c r="AJ1" s="111">
        <v>0</v>
      </c>
      <c r="AK1" s="80"/>
      <c r="AL1" s="80"/>
    </row>
    <row r="2" spans="1:38" s="9" customFormat="1" ht="22.8">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Jul 23</v>
      </c>
      <c r="AE2" s="1123">
        <f t="shared" ref="AE2:AE4" si="0">IF(AC2=AD2,1,0)</f>
        <v>1</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Jul 23</v>
      </c>
      <c r="U3" s="80"/>
      <c r="V3" s="80"/>
      <c r="W3" s="1121"/>
      <c r="X3" s="80"/>
      <c r="Y3" s="80"/>
      <c r="Z3" s="80"/>
      <c r="AA3" s="80"/>
      <c r="AB3" s="111"/>
      <c r="AC3" s="1123" t="str">
        <f>+Summary!$V$5</f>
        <v>Aug 23</v>
      </c>
      <c r="AD3" s="1123" t="str">
        <f>+Summary!$H$1</f>
        <v>Jul 23</v>
      </c>
      <c r="AE3" s="1123">
        <f t="shared" si="0"/>
        <v>0</v>
      </c>
      <c r="AF3" s="80"/>
      <c r="AG3" s="80"/>
      <c r="AH3" s="80"/>
      <c r="AI3" s="271" t="str">
        <f>Summary!V3</f>
        <v>Jun 23</v>
      </c>
      <c r="AJ3" s="111">
        <f>SUM($E$37:$F$37)</f>
        <v>0</v>
      </c>
      <c r="AK3" s="80"/>
      <c r="AL3" s="80"/>
    </row>
    <row r="4" spans="1:38" s="9" customFormat="1" ht="1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Jul 23</v>
      </c>
      <c r="AE4" s="1123">
        <f t="shared" si="0"/>
        <v>0</v>
      </c>
      <c r="AF4" s="80"/>
      <c r="AG4" s="80"/>
      <c r="AH4" s="80"/>
      <c r="AI4" s="271" t="str">
        <f>Summary!V4</f>
        <v>Jul 23</v>
      </c>
      <c r="AJ4" s="111">
        <f>SUM($E$37:$G$37)</f>
        <v>0</v>
      </c>
      <c r="AK4" s="80"/>
      <c r="AL4" s="80"/>
    </row>
    <row r="5" spans="1:38" ht="15.6">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324</v>
      </c>
      <c r="H12" s="2926">
        <f t="shared" si="2"/>
        <v>24</v>
      </c>
      <c r="I12" s="2926">
        <f t="shared" si="2"/>
        <v>24</v>
      </c>
      <c r="J12" s="2926">
        <f t="shared" si="2"/>
        <v>24</v>
      </c>
      <c r="K12" s="2926">
        <f t="shared" si="2"/>
        <v>18</v>
      </c>
      <c r="L12" s="2926">
        <f t="shared" si="2"/>
        <v>18</v>
      </c>
      <c r="M12" s="2926">
        <f t="shared" si="2"/>
        <v>18</v>
      </c>
      <c r="N12" s="2926">
        <f t="shared" si="2"/>
        <v>18</v>
      </c>
      <c r="O12" s="2927">
        <f t="shared" si="2"/>
        <v>17</v>
      </c>
      <c r="P12" s="2937">
        <f t="shared" si="2"/>
        <v>485</v>
      </c>
      <c r="Q12" s="2559"/>
      <c r="R12" s="2559"/>
      <c r="S12" s="2967">
        <f t="shared" si="3"/>
        <v>59</v>
      </c>
      <c r="T12" s="2995">
        <f>INDEX($D12:$O12,1,MATCH(LEFT($T$3,3),$D$6:$O$6,0))</f>
        <v>324</v>
      </c>
      <c r="U12" s="2996">
        <f t="shared" si="5"/>
        <v>485</v>
      </c>
      <c r="V12" s="2887"/>
      <c r="W12" s="2984">
        <f t="shared" si="6"/>
        <v>2.6830377444292862E-2</v>
      </c>
      <c r="X12" s="2985">
        <f t="shared" si="7"/>
        <v>0.16752843846949328</v>
      </c>
      <c r="Y12" s="2986">
        <f t="shared" ref="Y12" si="9">IF($Q43=0,0,U12/$Q43)</f>
        <v>3.1430237832933708E-2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27</v>
      </c>
      <c r="H13" s="2926">
        <f t="shared" si="2"/>
        <v>18</v>
      </c>
      <c r="I13" s="2926">
        <f t="shared" si="2"/>
        <v>18</v>
      </c>
      <c r="J13" s="2926">
        <f t="shared" si="2"/>
        <v>18</v>
      </c>
      <c r="K13" s="2926">
        <f t="shared" si="2"/>
        <v>18</v>
      </c>
      <c r="L13" s="2926">
        <f t="shared" si="2"/>
        <v>18</v>
      </c>
      <c r="M13" s="2926">
        <f t="shared" si="2"/>
        <v>18</v>
      </c>
      <c r="N13" s="2926">
        <f t="shared" si="2"/>
        <v>18</v>
      </c>
      <c r="O13" s="2927">
        <f t="shared" si="2"/>
        <v>18</v>
      </c>
      <c r="P13" s="2937">
        <f t="shared" si="2"/>
        <v>171</v>
      </c>
      <c r="Q13" s="2559"/>
      <c r="R13" s="2559"/>
      <c r="S13" s="2967">
        <f t="shared" si="3"/>
        <v>11</v>
      </c>
      <c r="T13" s="2995">
        <f t="shared" si="4"/>
        <v>27</v>
      </c>
      <c r="U13" s="2996">
        <f t="shared" si="5"/>
        <v>171</v>
      </c>
      <c r="V13" s="2887"/>
      <c r="W13" s="2984">
        <f t="shared" si="6"/>
        <v>0.6875</v>
      </c>
      <c r="X13" s="2985">
        <f t="shared" si="7"/>
        <v>0</v>
      </c>
      <c r="Y13" s="2986">
        <f t="shared" ref="Y13" si="10">IF($Q44=0,0,U13/$Q44)</f>
        <v>0</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-178.74983042841268</v>
      </c>
      <c r="H14" s="2926">
        <f t="shared" si="2"/>
        <v>-40.902894999999262</v>
      </c>
      <c r="I14" s="2926">
        <f t="shared" si="2"/>
        <v>-269.90508499999851</v>
      </c>
      <c r="J14" s="2926">
        <f t="shared" si="2"/>
        <v>-225.98258499999793</v>
      </c>
      <c r="K14" s="2926">
        <f t="shared" si="2"/>
        <v>-145.98358499999813</v>
      </c>
      <c r="L14" s="2926">
        <f t="shared" si="2"/>
        <v>-65.170084999997925</v>
      </c>
      <c r="M14" s="2926">
        <f t="shared" si="2"/>
        <v>-171.47558500000014</v>
      </c>
      <c r="N14" s="2926">
        <f t="shared" si="2"/>
        <v>-156.55976500000179</v>
      </c>
      <c r="O14" s="2927">
        <f t="shared" si="2"/>
        <v>3245.7107949999991</v>
      </c>
      <c r="P14" s="2937">
        <f t="shared" si="2"/>
        <v>1990.9813795715745</v>
      </c>
      <c r="Q14" s="2559"/>
      <c r="R14" s="2559"/>
      <c r="S14" s="2967">
        <f t="shared" si="3"/>
        <v>1761</v>
      </c>
      <c r="T14" s="2995">
        <f t="shared" si="4"/>
        <v>-178.74983042841268</v>
      </c>
      <c r="U14" s="2996">
        <f t="shared" si="5"/>
        <v>1990.9813795715745</v>
      </c>
      <c r="V14" s="2887"/>
      <c r="W14" s="2984">
        <f t="shared" si="6"/>
        <v>0.10922284934565528</v>
      </c>
      <c r="X14" s="2985">
        <f t="shared" si="7"/>
        <v>-9.8960475069688261E-3</v>
      </c>
      <c r="Y14" s="2986">
        <f t="shared" ref="Y14" si="11">IF($Q45=0,0,U14/$Q45)</f>
        <v>1.4057355207369369E-2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284.33199999999999</v>
      </c>
      <c r="H15" s="2930">
        <f t="shared" si="2"/>
        <v>73.423000000000002</v>
      </c>
      <c r="I15" s="2930">
        <f t="shared" si="2"/>
        <v>35.829999999999984</v>
      </c>
      <c r="J15" s="2930">
        <f t="shared" si="2"/>
        <v>33.918999999999983</v>
      </c>
      <c r="K15" s="2930">
        <f t="shared" si="2"/>
        <v>33.918000000000006</v>
      </c>
      <c r="L15" s="2930">
        <f t="shared" si="2"/>
        <v>33.923999999999978</v>
      </c>
      <c r="M15" s="2930">
        <f t="shared" si="2"/>
        <v>33.923999999999978</v>
      </c>
      <c r="N15" s="2930">
        <f t="shared" si="2"/>
        <v>33.423000000000002</v>
      </c>
      <c r="O15" s="2931">
        <f t="shared" si="2"/>
        <v>33.117000000000019</v>
      </c>
      <c r="P15" s="2938">
        <f t="shared" si="2"/>
        <v>595.80999999999949</v>
      </c>
      <c r="Q15" s="2559"/>
      <c r="R15" s="2559"/>
      <c r="S15" s="2968">
        <f t="shared" si="3"/>
        <v>24</v>
      </c>
      <c r="T15" s="2997">
        <f t="shared" si="4"/>
        <v>284.33199999999999</v>
      </c>
      <c r="U15" s="2998">
        <f t="shared" si="5"/>
        <v>595.80999999999949</v>
      </c>
      <c r="V15" s="2887"/>
      <c r="W15" s="2987">
        <f t="shared" si="6"/>
        <v>3.7209302325581395E-2</v>
      </c>
      <c r="X15" s="2988">
        <f t="shared" si="7"/>
        <v>0.73916208262709659</v>
      </c>
      <c r="Y15" s="2989">
        <f t="shared" ref="Y15" si="12">IF($Q46=0,0,U15/$Q46)</f>
        <v>0.19475179205904541</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456.58216957158584</v>
      </c>
      <c r="H16" s="2954">
        <f t="shared" si="2"/>
        <v>74.520104999999603</v>
      </c>
      <c r="I16" s="2954">
        <f t="shared" si="2"/>
        <v>-192.0750850000004</v>
      </c>
      <c r="J16" s="2954">
        <f t="shared" si="2"/>
        <v>-150.06358499999988</v>
      </c>
      <c r="K16" s="2954">
        <f t="shared" si="2"/>
        <v>-76.065585000000283</v>
      </c>
      <c r="L16" s="2954">
        <f t="shared" si="2"/>
        <v>4.7539150000011432</v>
      </c>
      <c r="M16" s="2954">
        <f t="shared" si="2"/>
        <v>-101.55158500000107</v>
      </c>
      <c r="N16" s="2954">
        <f t="shared" si="2"/>
        <v>-87.136765000002924</v>
      </c>
      <c r="O16" s="2955">
        <f t="shared" si="2"/>
        <v>3313.8277950000011</v>
      </c>
      <c r="P16" s="2956">
        <f t="shared" si="2"/>
        <v>3242.7913795715722</v>
      </c>
      <c r="Q16" s="2559"/>
      <c r="R16" s="2559"/>
      <c r="S16" s="2969">
        <f t="shared" si="3"/>
        <v>1855</v>
      </c>
      <c r="T16" s="2972">
        <f t="shared" si="4"/>
        <v>456.58216957158584</v>
      </c>
      <c r="U16" s="2956">
        <f t="shared" si="5"/>
        <v>3242.7913795715722</v>
      </c>
      <c r="V16" s="2887"/>
      <c r="W16" s="2973">
        <f t="shared" si="6"/>
        <v>9.7719011747352896E-2</v>
      </c>
      <c r="X16" s="2974">
        <f t="shared" si="7"/>
        <v>2.2401884568105563E-2</v>
      </c>
      <c r="Y16" s="2975">
        <f t="shared" ref="Y16" si="13">IF($Q47=0,0,U16/$Q47)</f>
        <v>2.0251871837533297E-2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1436.6138499999997</v>
      </c>
      <c r="H19" s="2926">
        <f t="shared" si="2"/>
        <v>-10.887249999999767</v>
      </c>
      <c r="I19" s="2926">
        <f t="shared" si="2"/>
        <v>29</v>
      </c>
      <c r="J19" s="2926">
        <f t="shared" si="2"/>
        <v>83</v>
      </c>
      <c r="K19" s="2926">
        <f t="shared" si="2"/>
        <v>93</v>
      </c>
      <c r="L19" s="2926">
        <f t="shared" si="2"/>
        <v>98</v>
      </c>
      <c r="M19" s="2926">
        <f t="shared" si="2"/>
        <v>97</v>
      </c>
      <c r="N19" s="2926">
        <f t="shared" si="2"/>
        <v>99</v>
      </c>
      <c r="O19" s="2927">
        <f t="shared" si="2"/>
        <v>328</v>
      </c>
      <c r="P19" s="2937">
        <f t="shared" si="2"/>
        <v>2252.7266000000236</v>
      </c>
      <c r="Q19" s="2559"/>
      <c r="R19" s="2559"/>
      <c r="S19" s="2967">
        <f t="shared" si="3"/>
        <v>-1341</v>
      </c>
      <c r="T19" s="2995">
        <f t="shared" si="4"/>
        <v>1436.6138499999997</v>
      </c>
      <c r="U19" s="2996">
        <f t="shared" si="5"/>
        <v>2252.7266000000236</v>
      </c>
      <c r="V19" s="2887"/>
      <c r="W19" s="2984">
        <f t="shared" si="6"/>
        <v>-9.7954711468224986E-2</v>
      </c>
      <c r="X19" s="2985">
        <f t="shared" si="7"/>
        <v>0.13164983627343499</v>
      </c>
      <c r="Y19" s="2986">
        <f t="shared" ref="Y19" si="16">IF($Q50=0,0,U19/$Q50)</f>
        <v>2.5575988081142906E-2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-1074.0316804284148</v>
      </c>
      <c r="H20" s="2926">
        <f t="shared" si="2"/>
        <v>85.495354999999108</v>
      </c>
      <c r="I20" s="2926">
        <f t="shared" si="2"/>
        <v>-221.4580849999993</v>
      </c>
      <c r="J20" s="2926">
        <f t="shared" si="2"/>
        <v>-233.14558499999839</v>
      </c>
      <c r="K20" s="2926">
        <f t="shared" si="2"/>
        <v>-169.14558500000021</v>
      </c>
      <c r="L20" s="2926">
        <f t="shared" si="2"/>
        <v>-93.33308500000021</v>
      </c>
      <c r="M20" s="2926">
        <f t="shared" si="2"/>
        <v>-198.64558499999839</v>
      </c>
      <c r="N20" s="2926">
        <f t="shared" si="2"/>
        <v>-186.07086164999964</v>
      </c>
      <c r="O20" s="2927">
        <f t="shared" si="2"/>
        <v>3080.7486983500003</v>
      </c>
      <c r="P20" s="2937">
        <f t="shared" si="2"/>
        <v>990.12358627161302</v>
      </c>
      <c r="Q20" s="2559"/>
      <c r="R20" s="2559"/>
      <c r="S20" s="2967">
        <f t="shared" si="3"/>
        <v>3113</v>
      </c>
      <c r="T20" s="2995">
        <f t="shared" si="4"/>
        <v>-1074.0316804284148</v>
      </c>
      <c r="U20" s="2996">
        <f t="shared" si="5"/>
        <v>990.12358627161302</v>
      </c>
      <c r="V20" s="2887"/>
      <c r="W20" s="2984">
        <f t="shared" si="6"/>
        <v>0.65719195578468248</v>
      </c>
      <c r="X20" s="2985">
        <f t="shared" si="7"/>
        <v>-0.12035516936974157</v>
      </c>
      <c r="Y20" s="2986">
        <f t="shared" ref="Y20" si="17">IF($Q51=0,0,U20/$Q51)</f>
        <v>1.4615479907640797E-2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v>
      </c>
      <c r="I31" s="2926">
        <f t="shared" si="23"/>
        <v>0</v>
      </c>
      <c r="J31" s="2926">
        <f t="shared" si="23"/>
        <v>0</v>
      </c>
      <c r="K31" s="2926">
        <f t="shared" si="23"/>
        <v>0</v>
      </c>
      <c r="L31" s="2926">
        <f t="shared" si="23"/>
        <v>0</v>
      </c>
      <c r="M31" s="2926">
        <f t="shared" si="23"/>
        <v>0</v>
      </c>
      <c r="N31" s="2926">
        <f t="shared" si="23"/>
        <v>0</v>
      </c>
      <c r="O31" s="2927">
        <f t="shared" si="23"/>
        <v>0</v>
      </c>
      <c r="P31" s="2937">
        <f t="shared" si="23"/>
        <v>0.16000000000076398</v>
      </c>
      <c r="Q31" s="2559"/>
      <c r="R31" s="2559"/>
      <c r="S31" s="2967">
        <f t="shared" si="3"/>
        <v>0</v>
      </c>
      <c r="T31" s="2995">
        <f t="shared" si="4"/>
        <v>0</v>
      </c>
      <c r="U31" s="2996">
        <f t="shared" si="5"/>
        <v>0.16000000000076398</v>
      </c>
      <c r="V31" s="2887"/>
      <c r="W31" s="2984">
        <f t="shared" si="6"/>
        <v>0</v>
      </c>
      <c r="X31" s="2985">
        <f t="shared" si="7"/>
        <v>0</v>
      </c>
      <c r="Y31" s="2986">
        <f t="shared" ref="Y31" si="29">IF($Q62=0,0,U31/$Q62)</f>
        <v>3.8566111957607156E-5</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v>
      </c>
      <c r="I32" s="2926">
        <f t="shared" si="23"/>
        <v>0</v>
      </c>
      <c r="J32" s="2926">
        <f t="shared" si="23"/>
        <v>0</v>
      </c>
      <c r="K32" s="2926">
        <f t="shared" si="23"/>
        <v>0</v>
      </c>
      <c r="L32" s="2926">
        <f t="shared" si="23"/>
        <v>0</v>
      </c>
      <c r="M32" s="2926">
        <f t="shared" si="23"/>
        <v>0</v>
      </c>
      <c r="N32" s="2926">
        <f t="shared" si="23"/>
        <v>0</v>
      </c>
      <c r="O32" s="2927">
        <f t="shared" si="23"/>
        <v>0</v>
      </c>
      <c r="P32" s="2937">
        <f t="shared" si="23"/>
        <v>0.12999999999999545</v>
      </c>
      <c r="Q32" s="2559"/>
      <c r="R32" s="2559"/>
      <c r="S32" s="2967">
        <f t="shared" si="3"/>
        <v>0</v>
      </c>
      <c r="T32" s="2995">
        <f t="shared" si="4"/>
        <v>0</v>
      </c>
      <c r="U32" s="2996">
        <f t="shared" si="5"/>
        <v>0.12999999999999545</v>
      </c>
      <c r="V32" s="2887"/>
      <c r="W32" s="2984">
        <f t="shared" si="6"/>
        <v>0</v>
      </c>
      <c r="X32" s="2985">
        <f t="shared" si="7"/>
        <v>0</v>
      </c>
      <c r="Y32" s="2986">
        <f t="shared" ref="Y32" si="30">IF($Q63=0,0,U32/$Q63)</f>
        <v>6.111320045129534E-4</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362.58216957158584</v>
      </c>
      <c r="H35" s="2954">
        <f t="shared" si="23"/>
        <v>74.608104999999341</v>
      </c>
      <c r="I35" s="2954">
        <f t="shared" si="23"/>
        <v>-192.45808500000203</v>
      </c>
      <c r="J35" s="2954">
        <f t="shared" si="23"/>
        <v>-150.14558499999839</v>
      </c>
      <c r="K35" s="2954">
        <f t="shared" si="23"/>
        <v>-76.145585000002029</v>
      </c>
      <c r="L35" s="2954">
        <f t="shared" si="23"/>
        <v>4.6669150000016089</v>
      </c>
      <c r="M35" s="2954">
        <f t="shared" si="23"/>
        <v>-101.64558499999839</v>
      </c>
      <c r="N35" s="2954">
        <f t="shared" si="23"/>
        <v>-87.070861650001461</v>
      </c>
      <c r="O35" s="2955">
        <f t="shared" si="23"/>
        <v>3408.7486983499984</v>
      </c>
      <c r="P35" s="2956">
        <f t="shared" si="23"/>
        <v>3243.140186271572</v>
      </c>
      <c r="Q35" s="2559"/>
      <c r="R35" s="2559"/>
      <c r="S35" s="2969">
        <f t="shared" si="3"/>
        <v>1772</v>
      </c>
      <c r="T35" s="2972">
        <f t="shared" si="4"/>
        <v>362.58216957158584</v>
      </c>
      <c r="U35" s="2956">
        <f t="shared" si="5"/>
        <v>3243.140186271572</v>
      </c>
      <c r="V35" s="2887"/>
      <c r="W35" s="2973">
        <f t="shared" si="6"/>
        <v>9.3400801180687332E-2</v>
      </c>
      <c r="X35" s="2974">
        <f t="shared" si="7"/>
        <v>1.7789840362836252E-2</v>
      </c>
      <c r="Y35" s="2975">
        <f t="shared" ref="Y35" si="33">IF($Q66=0,0,U35/$Q66)</f>
        <v>2.0246084409914069E-2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94</v>
      </c>
      <c r="H36" s="2960">
        <f t="shared" si="23"/>
        <v>-8.7999999996100087E-2</v>
      </c>
      <c r="I36" s="2960">
        <f t="shared" si="23"/>
        <v>0.38300000000162981</v>
      </c>
      <c r="J36" s="2960">
        <f t="shared" si="23"/>
        <v>8.2000000002153683E-2</v>
      </c>
      <c r="K36" s="2960">
        <f t="shared" si="23"/>
        <v>8.000000000174623E-2</v>
      </c>
      <c r="L36" s="2960">
        <f t="shared" si="23"/>
        <v>8.6999999999534339E-2</v>
      </c>
      <c r="M36" s="2960">
        <f t="shared" si="23"/>
        <v>9.4000000000960426E-2</v>
      </c>
      <c r="N36" s="2960">
        <f t="shared" si="23"/>
        <v>-6.5903350001462968E-2</v>
      </c>
      <c r="O36" s="2961">
        <f t="shared" si="23"/>
        <v>-94.920903349997388</v>
      </c>
      <c r="P36" s="2962">
        <f t="shared" si="23"/>
        <v>-0.34880669998892699</v>
      </c>
      <c r="Q36" s="2559"/>
      <c r="R36" s="2559"/>
      <c r="S36" s="2971">
        <f t="shared" si="3"/>
        <v>83</v>
      </c>
      <c r="T36" s="2976">
        <f t="shared" si="4"/>
        <v>94</v>
      </c>
      <c r="U36" s="2977">
        <f>P36</f>
        <v>-0.34880669998892699</v>
      </c>
      <c r="V36" s="2887"/>
      <c r="W36" s="2978">
        <f t="shared" si="6"/>
        <v>7.5454545454545459</v>
      </c>
      <c r="X36" s="2979">
        <f t="shared" si="7"/>
        <v>0</v>
      </c>
      <c r="Y36" s="2980">
        <f t="shared" ref="Y36" si="34">IF($Q67=0,0,U36/$Q67)</f>
        <v>5.5365972978520259E-3</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1934</v>
      </c>
      <c r="H43" s="2905">
        <v>1934</v>
      </c>
      <c r="I43" s="2905">
        <v>1934</v>
      </c>
      <c r="J43" s="2906">
        <v>1927</v>
      </c>
      <c r="K43" s="2906">
        <v>1927</v>
      </c>
      <c r="L43" s="2906">
        <v>1927</v>
      </c>
      <c r="M43" s="2906">
        <v>1927</v>
      </c>
      <c r="N43" s="2906">
        <v>1927</v>
      </c>
      <c r="O43" s="2906">
        <v>1928</v>
      </c>
      <c r="P43" s="2937">
        <f t="shared" si="36"/>
        <v>23414</v>
      </c>
      <c r="Q43" s="2937">
        <f>IF(LEFT($T$3,3)="Mar",0,SUM(INDEX($D43:$O43,1,MATCH(LEFT($T$3,3),$D$6:$O$6,0)+1):$O43))</f>
        <v>15431</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0</v>
      </c>
      <c r="H44" s="2906">
        <v>0</v>
      </c>
      <c r="I44" s="2906">
        <v>0</v>
      </c>
      <c r="J44" s="2906">
        <v>0</v>
      </c>
      <c r="K44" s="2906">
        <v>0</v>
      </c>
      <c r="L44" s="2906">
        <v>0</v>
      </c>
      <c r="M44" s="2906">
        <v>0</v>
      </c>
      <c r="N44" s="2906">
        <v>0</v>
      </c>
      <c r="O44" s="2907">
        <v>0</v>
      </c>
      <c r="P44" s="2937">
        <f t="shared" si="36"/>
        <v>50</v>
      </c>
      <c r="Q44" s="2937">
        <f>IF(LEFT($T$3,3)="Mar",0,SUM(INDEX($D44:$O44,1,MATCH(LEFT($T$3,3),$D$6:$O$6,0)+1):$O44))</f>
        <v>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18062.749830428413</v>
      </c>
      <c r="H45" s="2906">
        <v>16960.033163761749</v>
      </c>
      <c r="I45" s="2906">
        <v>17360.770678371584</v>
      </c>
      <c r="J45" s="2906">
        <v>17918.215655619671</v>
      </c>
      <c r="K45" s="2906">
        <v>17570.458189846995</v>
      </c>
      <c r="L45" s="2906">
        <v>17869.640655619671</v>
      </c>
      <c r="M45" s="2906">
        <v>17667.215655619671</v>
      </c>
      <c r="N45" s="2906">
        <v>17628.645004074318</v>
      </c>
      <c r="O45" s="2907">
        <v>18657.735700619673</v>
      </c>
      <c r="P45" s="2937">
        <f t="shared" si="36"/>
        <v>207660.46453396176</v>
      </c>
      <c r="Q45" s="2937">
        <f>IF(LEFT($T$3,3)="Mar",0,SUM(INDEX($D45:$O45,1,MATCH(LEFT($T$3,3),$D$6:$O$6,0)+1):$O45))</f>
        <v>141632.71470353333</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384.66800000000001</v>
      </c>
      <c r="H46" s="2910">
        <v>383.66800000000001</v>
      </c>
      <c r="I46" s="2910">
        <v>383.66800000000001</v>
      </c>
      <c r="J46" s="2910">
        <v>383.66800000000001</v>
      </c>
      <c r="K46" s="2910">
        <v>383.66800000000001</v>
      </c>
      <c r="L46" s="2910">
        <v>383.66800000000001</v>
      </c>
      <c r="M46" s="2910">
        <v>381.66800000000001</v>
      </c>
      <c r="N46" s="2910">
        <v>379.66800000000001</v>
      </c>
      <c r="O46" s="2911">
        <v>379.654</v>
      </c>
      <c r="P46" s="2938">
        <f t="shared" si="36"/>
        <v>5076.9979999999996</v>
      </c>
      <c r="Q46" s="2938">
        <f>IF(LEFT($T$3,3)="Mar",0,SUM(INDEX($D46:$O46,1,MATCH(LEFT($T$3,3),$D$6:$O$6,0)+1):$O46))</f>
        <v>3059.3300000000004</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20381.417830428414</v>
      </c>
      <c r="H47" s="2876">
        <f t="shared" si="37"/>
        <v>19277.701163761751</v>
      </c>
      <c r="I47" s="2876">
        <f t="shared" si="37"/>
        <v>19678.438678371585</v>
      </c>
      <c r="J47" s="2876">
        <f t="shared" si="37"/>
        <v>20228.883655619673</v>
      </c>
      <c r="K47" s="2876">
        <f t="shared" si="37"/>
        <v>19881.126189846997</v>
      </c>
      <c r="L47" s="2876">
        <f t="shared" si="37"/>
        <v>20180.308655619672</v>
      </c>
      <c r="M47" s="2876">
        <f t="shared" si="37"/>
        <v>19975.883655619673</v>
      </c>
      <c r="N47" s="2876">
        <f t="shared" si="37"/>
        <v>19935.31300407432</v>
      </c>
      <c r="O47" s="2877">
        <f>SUM(O41:O46)</f>
        <v>20965.389700619671</v>
      </c>
      <c r="P47" s="2878">
        <f t="shared" si="36"/>
        <v>236201.46253396178</v>
      </c>
      <c r="Q47" s="2878">
        <f>IF(LEFT($T$3,3)="Mar",0,SUM(INDEX($D47:$O47,1,MATCH(LEFT($T$3,3),$D$6:$O$6,0)+1):$O47))</f>
        <v>160123.04470353335</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10912.38615</v>
      </c>
      <c r="H50" s="2906">
        <v>10924.419483333333</v>
      </c>
      <c r="I50" s="2906">
        <v>10964.259676666667</v>
      </c>
      <c r="J50" s="2906">
        <v>11015.102576666666</v>
      </c>
      <c r="K50" s="2906">
        <v>11015.102576666666</v>
      </c>
      <c r="L50" s="2906">
        <v>11015.102576666666</v>
      </c>
      <c r="M50" s="2906">
        <v>11011.102576666666</v>
      </c>
      <c r="N50" s="2906">
        <v>11001.259676666667</v>
      </c>
      <c r="O50" s="2907">
        <v>11133.399441666666</v>
      </c>
      <c r="P50" s="2937">
        <f t="shared" si="36"/>
        <v>133390.134735</v>
      </c>
      <c r="Q50" s="2937">
        <f>IF(LEFT($T$3,3)="Mar",0,SUM(INDEX($D50:$O50,1,MATCH(LEFT($T$3,3),$D$6:$O$6,0)+1):$O50))</f>
        <v>88079.748584999994</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8923.8516804284154</v>
      </c>
      <c r="H51" s="2906">
        <v>7808.1016804284154</v>
      </c>
      <c r="I51" s="2906">
        <v>8168.9990017049176</v>
      </c>
      <c r="J51" s="2906">
        <v>8668.6010789530046</v>
      </c>
      <c r="K51" s="2906">
        <v>8320.8436131803282</v>
      </c>
      <c r="L51" s="2906">
        <v>8620.0260789530057</v>
      </c>
      <c r="M51" s="2906">
        <v>8419.6010789530046</v>
      </c>
      <c r="N51" s="2906">
        <v>8388.8734240576505</v>
      </c>
      <c r="O51" s="2907">
        <v>9349.8103556030055</v>
      </c>
      <c r="P51" s="2937">
        <f t="shared" si="36"/>
        <v>96269.706992261737</v>
      </c>
      <c r="Q51" s="2937">
        <f>IF(LEFT($T$3,3)="Mar",0,SUM(INDEX($D51:$O51,1,MATCH(LEFT($T$3,3),$D$6:$O$6,0)+1):$O51))</f>
        <v>67744.85631183334</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518.58999999999992</v>
      </c>
      <c r="I62" s="2917">
        <v>518.58999999999992</v>
      </c>
      <c r="J62" s="2917">
        <v>518.58999999999992</v>
      </c>
      <c r="K62" s="2917">
        <v>518.58999999999992</v>
      </c>
      <c r="L62" s="2917">
        <v>518.58999999999992</v>
      </c>
      <c r="M62" s="2917">
        <v>518.58999999999992</v>
      </c>
      <c r="N62" s="2917">
        <v>518.58999999999992</v>
      </c>
      <c r="O62" s="2917">
        <v>518.58999999999992</v>
      </c>
      <c r="P62" s="2937">
        <f t="shared" si="36"/>
        <v>6222.7210000000005</v>
      </c>
      <c r="Q62" s="2937">
        <f>IF(LEFT($T$3,3)="Mar",0,SUM(INDEX($D62:$O62,1,MATCH(LEFT($T$3,3),$D$6:$O$6,0)+1):$O62))</f>
        <v>4148.72</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26.590000000000003</v>
      </c>
      <c r="I63" s="2917">
        <v>26.590000000000003</v>
      </c>
      <c r="J63" s="2917">
        <v>26.590000000000003</v>
      </c>
      <c r="K63" s="2917">
        <v>26.590000000000003</v>
      </c>
      <c r="L63" s="2917">
        <v>26.590000000000003</v>
      </c>
      <c r="M63" s="2917">
        <v>26.590000000000003</v>
      </c>
      <c r="N63" s="2917">
        <v>26.590000000000003</v>
      </c>
      <c r="O63" s="2917">
        <v>26.590000000000003</v>
      </c>
      <c r="P63" s="2937">
        <f t="shared" si="36"/>
        <v>318.90000000000009</v>
      </c>
      <c r="Q63" s="2937">
        <f>IF(LEFT($T$3,3)="Mar",0,SUM(INDEX($D63:$O63,1,MATCH(LEFT($T$3,3),$D$6:$O$6,0)+1):$O63))</f>
        <v>212.72000000000003</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20381.417830428414</v>
      </c>
      <c r="H66" s="2876">
        <f t="shared" si="38"/>
        <v>19277.701163761747</v>
      </c>
      <c r="I66" s="2876">
        <f t="shared" si="38"/>
        <v>19678.438678371585</v>
      </c>
      <c r="J66" s="2876">
        <f t="shared" si="38"/>
        <v>20228.883655619669</v>
      </c>
      <c r="K66" s="2876">
        <f t="shared" si="38"/>
        <v>19881.126189846997</v>
      </c>
      <c r="L66" s="2876">
        <f t="shared" si="38"/>
        <v>20180.308655619672</v>
      </c>
      <c r="M66" s="2876">
        <f t="shared" si="38"/>
        <v>19975.883655619669</v>
      </c>
      <c r="N66" s="2876">
        <f t="shared" si="38"/>
        <v>19935.313100724317</v>
      </c>
      <c r="O66" s="2877">
        <f t="shared" si="38"/>
        <v>21028.389797269672</v>
      </c>
      <c r="P66" s="2878">
        <f t="shared" si="36"/>
        <v>236201.46272726177</v>
      </c>
      <c r="Q66" s="2878">
        <f>IF(LEFT($T$3,3)="Mar",0,SUM(INDEX($D66:$O66,1,MATCH(LEFT($T$3,3),$D$6:$O$6,0)+1):$O66))</f>
        <v>160186.04489683331</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0</v>
      </c>
      <c r="H67" s="2884">
        <f t="shared" si="39"/>
        <v>0</v>
      </c>
      <c r="I67" s="2884">
        <f t="shared" si="39"/>
        <v>0</v>
      </c>
      <c r="J67" s="2884">
        <f t="shared" si="39"/>
        <v>0</v>
      </c>
      <c r="K67" s="2884">
        <f t="shared" si="39"/>
        <v>0</v>
      </c>
      <c r="L67" s="2884">
        <f t="shared" si="39"/>
        <v>0</v>
      </c>
      <c r="M67" s="2884">
        <f t="shared" si="39"/>
        <v>0</v>
      </c>
      <c r="N67" s="2884">
        <f t="shared" si="39"/>
        <v>-9.6649997431086376E-5</v>
      </c>
      <c r="O67" s="2885">
        <f t="shared" si="39"/>
        <v>-63.000096650001069</v>
      </c>
      <c r="P67" s="2886">
        <f t="shared" si="36"/>
        <v>-1.9329999850015156E-4</v>
      </c>
      <c r="Q67" s="2886">
        <f>IF(LEFT($T$3,3)="Mar",0,SUM(INDEX($D67:$O67,1,MATCH(LEFT($T$3,3),$D$6:$O$6,0)+1):$O67))</f>
        <v>-63.0001932999985</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6">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1958</v>
      </c>
      <c r="I76" s="2926">
        <f>'B - Monthly Positions'!I13</f>
        <v>1958</v>
      </c>
      <c r="J76" s="2926">
        <f>'B - Monthly Positions'!J13</f>
        <v>1951</v>
      </c>
      <c r="K76" s="2926">
        <f>'B - Monthly Positions'!K13</f>
        <v>1945</v>
      </c>
      <c r="L76" s="2926">
        <f>'B - Monthly Positions'!L13</f>
        <v>1945</v>
      </c>
      <c r="M76" s="2926">
        <f>'B - Monthly Positions'!M13</f>
        <v>1945</v>
      </c>
      <c r="N76" s="2926">
        <f>'B - Monthly Positions'!N13</f>
        <v>1945</v>
      </c>
      <c r="O76" s="2927">
        <f>'B - Monthly Positions'!O13</f>
        <v>1945</v>
      </c>
      <c r="P76" s="2937">
        <f t="shared" si="41"/>
        <v>23899</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18</v>
      </c>
      <c r="I77" s="2926">
        <f>'B - Monthly Positions'!I14</f>
        <v>18</v>
      </c>
      <c r="J77" s="2926">
        <f>'B - Monthly Positions'!J14</f>
        <v>18</v>
      </c>
      <c r="K77" s="2926">
        <f>'B - Monthly Positions'!K14</f>
        <v>18</v>
      </c>
      <c r="L77" s="2926">
        <f>'B - Monthly Positions'!L14</f>
        <v>18</v>
      </c>
      <c r="M77" s="2926">
        <f>'B - Monthly Positions'!M14</f>
        <v>18</v>
      </c>
      <c r="N77" s="2926">
        <f>'B - Monthly Positions'!N14</f>
        <v>18</v>
      </c>
      <c r="O77" s="2927">
        <f>'B - Monthly Positions'!O14</f>
        <v>18</v>
      </c>
      <c r="P77" s="2937">
        <f t="shared" si="41"/>
        <v>221</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16919.13026876175</v>
      </c>
      <c r="I78" s="2926">
        <f>'B - Monthly Positions'!I15</f>
        <v>17090.865593371585</v>
      </c>
      <c r="J78" s="2926">
        <f>'B - Monthly Positions'!J15</f>
        <v>17692.233070619674</v>
      </c>
      <c r="K78" s="2926">
        <f>'B - Monthly Positions'!K15</f>
        <v>17424.474604846997</v>
      </c>
      <c r="L78" s="2926">
        <f>'B - Monthly Positions'!L15</f>
        <v>17804.470570619673</v>
      </c>
      <c r="M78" s="2926">
        <f>'B - Monthly Positions'!M15</f>
        <v>17495.740070619671</v>
      </c>
      <c r="N78" s="2926">
        <f>'B - Monthly Positions'!N15</f>
        <v>17472.085239074317</v>
      </c>
      <c r="O78" s="2927">
        <f>'B - Monthly Positions'!O15</f>
        <v>21903.446495619672</v>
      </c>
      <c r="P78" s="2937">
        <f t="shared" si="41"/>
        <v>209651.44591353333</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457.09100000000001</v>
      </c>
      <c r="I79" s="2930">
        <f>'B - Monthly Positions'!I16</f>
        <v>419.49799999999999</v>
      </c>
      <c r="J79" s="2930">
        <f>'B - Monthly Positions'!J16</f>
        <v>417.58699999999999</v>
      </c>
      <c r="K79" s="2930">
        <f>'B - Monthly Positions'!K16</f>
        <v>417.58600000000001</v>
      </c>
      <c r="L79" s="2930">
        <f>'B - Monthly Positions'!L16</f>
        <v>417.59199999999998</v>
      </c>
      <c r="M79" s="2930">
        <f>'B - Monthly Positions'!M16</f>
        <v>415.59199999999998</v>
      </c>
      <c r="N79" s="2930">
        <f>'B - Monthly Positions'!N16</f>
        <v>413.09100000000001</v>
      </c>
      <c r="O79" s="2931">
        <f>'B - Monthly Positions'!O16</f>
        <v>412.77100000000002</v>
      </c>
      <c r="P79" s="2938">
        <f t="shared" si="41"/>
        <v>5672.8079999999991</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19352.22126876175</v>
      </c>
      <c r="I80" s="2954">
        <f>'B - Monthly Positions'!I17</f>
        <v>19486.363593371585</v>
      </c>
      <c r="J80" s="2954">
        <f>'B - Monthly Positions'!J17</f>
        <v>20078.820070619673</v>
      </c>
      <c r="K80" s="2954">
        <f>'B - Monthly Positions'!K17</f>
        <v>19805.060604846996</v>
      </c>
      <c r="L80" s="2954">
        <f>'B - Monthly Positions'!L17</f>
        <v>20185.062570619673</v>
      </c>
      <c r="M80" s="2954">
        <f>'B - Monthly Positions'!M17</f>
        <v>19874.332070619672</v>
      </c>
      <c r="N80" s="2954">
        <f>'B - Monthly Positions'!N17</f>
        <v>19848.176239074317</v>
      </c>
      <c r="O80" s="2955">
        <f>'B - Monthly Positions'!O17</f>
        <v>24279.217495619672</v>
      </c>
      <c r="P80" s="2956">
        <f t="shared" si="41"/>
        <v>239444.25391353335</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10913.532233333333</v>
      </c>
      <c r="I83" s="2926">
        <f>'B - Monthly Positions'!I20</f>
        <v>10993.259676666667</v>
      </c>
      <c r="J83" s="2926">
        <f>'B - Monthly Positions'!J20</f>
        <v>11098.102576666666</v>
      </c>
      <c r="K83" s="2926">
        <f>'B - Monthly Positions'!K20</f>
        <v>11108.102576666666</v>
      </c>
      <c r="L83" s="2926">
        <f>'B - Monthly Positions'!L20</f>
        <v>11113.102576666666</v>
      </c>
      <c r="M83" s="2926">
        <f>'B - Monthly Positions'!M20</f>
        <v>11108.102576666666</v>
      </c>
      <c r="N83" s="2926">
        <f>'B - Monthly Positions'!N20</f>
        <v>11100.259676666667</v>
      </c>
      <c r="O83" s="2927">
        <f>'B - Monthly Positions'!O20</f>
        <v>11461.399441666666</v>
      </c>
      <c r="P83" s="2937">
        <f t="shared" si="41"/>
        <v>135642.86133500002</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7893.5970354284145</v>
      </c>
      <c r="I84" s="2926">
        <f>'B - Monthly Positions'!I21</f>
        <v>7947.5409167049183</v>
      </c>
      <c r="J84" s="2926">
        <f>'B - Monthly Positions'!J21</f>
        <v>8435.4554939530062</v>
      </c>
      <c r="K84" s="2926">
        <f>'B - Monthly Positions'!K21</f>
        <v>8151.698028180328</v>
      </c>
      <c r="L84" s="2926">
        <f>'B - Monthly Positions'!L21</f>
        <v>8526.6929939530055</v>
      </c>
      <c r="M84" s="2926">
        <f>'B - Monthly Positions'!M21</f>
        <v>8220.9554939530062</v>
      </c>
      <c r="N84" s="2926">
        <f>'B - Monthly Positions'!N21</f>
        <v>8202.8025624076508</v>
      </c>
      <c r="O84" s="2927">
        <f>'B - Monthly Positions'!O21</f>
        <v>12430.559053953006</v>
      </c>
      <c r="P84" s="2937">
        <f t="shared" si="41"/>
        <v>97259.83057853335</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518.58999999999992</v>
      </c>
      <c r="I95" s="2926">
        <f>'B - Monthly Positions'!I32</f>
        <v>518.58999999999992</v>
      </c>
      <c r="J95" s="2926">
        <f>'B - Monthly Positions'!J32</f>
        <v>518.58999999999992</v>
      </c>
      <c r="K95" s="2926">
        <f>'B - Monthly Positions'!K32</f>
        <v>518.58999999999992</v>
      </c>
      <c r="L95" s="2926">
        <f>'B - Monthly Positions'!L32</f>
        <v>518.58999999999992</v>
      </c>
      <c r="M95" s="2926">
        <f>'B - Monthly Positions'!M32</f>
        <v>518.58999999999992</v>
      </c>
      <c r="N95" s="2926">
        <f>'B - Monthly Positions'!N32</f>
        <v>518.58999999999992</v>
      </c>
      <c r="O95" s="2927">
        <f>'B - Monthly Positions'!O32</f>
        <v>518.58999999999992</v>
      </c>
      <c r="P95" s="2937">
        <f t="shared" si="41"/>
        <v>6222.8810000000012</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26.590000000000003</v>
      </c>
      <c r="I96" s="2926">
        <f>'B - Monthly Positions'!I33</f>
        <v>26.590000000000003</v>
      </c>
      <c r="J96" s="2926">
        <f>'B - Monthly Positions'!J33</f>
        <v>26.590000000000003</v>
      </c>
      <c r="K96" s="2926">
        <f>'B - Monthly Positions'!K33</f>
        <v>26.590000000000003</v>
      </c>
      <c r="L96" s="2926">
        <f>'B - Monthly Positions'!L33</f>
        <v>26.590000000000003</v>
      </c>
      <c r="M96" s="2926">
        <f>'B - Monthly Positions'!M33</f>
        <v>26.590000000000003</v>
      </c>
      <c r="N96" s="2926">
        <f>'B - Monthly Positions'!N33</f>
        <v>26.590000000000003</v>
      </c>
      <c r="O96" s="2927">
        <f>'B - Monthly Positions'!O33</f>
        <v>26.590000000000003</v>
      </c>
      <c r="P96" s="2937">
        <f t="shared" si="41"/>
        <v>319.03000000000009</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19352.309268761746</v>
      </c>
      <c r="I99" s="2954">
        <f>'B - Monthly Positions'!I36</f>
        <v>19485.980593371583</v>
      </c>
      <c r="J99" s="2954">
        <f>'B - Monthly Positions'!J36</f>
        <v>20078.738070619671</v>
      </c>
      <c r="K99" s="2954">
        <f>'B - Monthly Positions'!K36</f>
        <v>19804.980604846995</v>
      </c>
      <c r="L99" s="2954">
        <f>'B - Monthly Positions'!L36</f>
        <v>20184.975570619674</v>
      </c>
      <c r="M99" s="2954">
        <f>'B - Monthly Positions'!M36</f>
        <v>19874.238070619671</v>
      </c>
      <c r="N99" s="2954">
        <f>'B - Monthly Positions'!N36</f>
        <v>19848.242239074316</v>
      </c>
      <c r="O99" s="2955">
        <f>'B - Monthly Positions'!O36</f>
        <v>24437.138495619671</v>
      </c>
      <c r="P99" s="2956">
        <f t="shared" si="41"/>
        <v>239444.60291353334</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-8.7999999996100087E-2</v>
      </c>
      <c r="I100" s="2960">
        <f>'B - Monthly Positions'!I37</f>
        <v>0.38300000000162981</v>
      </c>
      <c r="J100" s="2960">
        <f>'B - Monthly Positions'!J37</f>
        <v>8.2000000002153683E-2</v>
      </c>
      <c r="K100" s="2960">
        <f>'B - Monthly Positions'!K37</f>
        <v>8.000000000174623E-2</v>
      </c>
      <c r="L100" s="2960">
        <f>'B - Monthly Positions'!L37</f>
        <v>8.6999999999534339E-2</v>
      </c>
      <c r="M100" s="2960">
        <f>'B - Monthly Positions'!M37</f>
        <v>9.4000000000960426E-2</v>
      </c>
      <c r="N100" s="2960">
        <f>'B - Monthly Positions'!N37</f>
        <v>-6.5999999998894054E-2</v>
      </c>
      <c r="O100" s="2961">
        <f>'B - Monthly Positions'!O37</f>
        <v>-157.92099999999846</v>
      </c>
      <c r="P100" s="2962">
        <f t="shared" si="41"/>
        <v>-0.34899999998742715</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F69A4F43-A788-46F5-A2BD-1FE0696CC49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27233c93-c413-4fbb-a11c-d69fcc6dbe32"/>
    <ds:schemaRef ds:uri="fad5256b-9034-4098-a484-2992d39a62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an018286</cp:lastModifiedBy>
  <cp:lastPrinted>2023-04-25T11:34:50Z</cp:lastPrinted>
  <dcterms:created xsi:type="dcterms:W3CDTF">2009-08-27T15:29:26Z</dcterms:created>
  <dcterms:modified xsi:type="dcterms:W3CDTF">2023-08-18T16:22:35Z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