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3 - June/"/>
    </mc:Choice>
  </mc:AlternateContent>
  <xr:revisionPtr revIDLastSave="0" documentId="8_{4F2E1D34-6BF0-4ACD-A131-AACDCF45EE7E}" xr6:coauthVersionLast="47" xr6:coauthVersionMax="47" xr10:uidLastSave="{00000000-0000-0000-0000-000000000000}"/>
  <bookViews>
    <workbookView xWindow="28680" yWindow="-120" windowWidth="29040" windowHeight="15840" tabRatio="837"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E - Resource Limits" sheetId="8" r:id="rId15"/>
    <sheet name="E1 - Invoiced Income" sheetId="91" r:id="rId16"/>
    <sheet name="F - SoFP" sheetId="3"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4">'E - Resource Limits'!$A$1:$L$119</definedName>
    <definedName name="_xlnm.Print_Area" localSheetId="15">'E1 - Invoiced Income'!$A$1:$U$84</definedName>
    <definedName name="_xlnm.Print_Area" localSheetId="16">'F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9" l="1"/>
  <c r="L20" i="79"/>
  <c r="L21" i="79"/>
  <c r="L18" i="79"/>
  <c r="L9" i="79"/>
  <c r="L10" i="79"/>
  <c r="L11" i="79"/>
  <c r="L8" i="79"/>
  <c r="O15" i="78"/>
  <c r="N15" i="78"/>
  <c r="M15" i="78"/>
  <c r="L15" i="78"/>
  <c r="K15" i="78"/>
  <c r="J15" i="78"/>
  <c r="I15" i="78"/>
  <c r="H15" i="78"/>
  <c r="G15" i="78"/>
  <c r="O16" i="78"/>
  <c r="N16" i="78"/>
  <c r="M16" i="78"/>
  <c r="L16" i="78"/>
  <c r="K16" i="78"/>
  <c r="J16" i="78"/>
  <c r="I16" i="78"/>
  <c r="H16" i="78"/>
  <c r="G16" i="78"/>
  <c r="G29" i="10" l="1"/>
  <c r="H29" i="10" s="1"/>
  <c r="I29" i="10" s="1"/>
  <c r="J29" i="10" s="1"/>
  <c r="K29" i="10" s="1"/>
  <c r="L29" i="10" s="1"/>
  <c r="M29" i="10" s="1"/>
  <c r="N29" i="10" s="1"/>
  <c r="G28" i="10"/>
  <c r="H28" i="10" s="1"/>
  <c r="I28" i="10" s="1"/>
  <c r="J28" i="10" s="1"/>
  <c r="K28" i="10" s="1"/>
  <c r="L28" i="10" s="1"/>
  <c r="M28" i="10" s="1"/>
  <c r="N28" i="10" s="1"/>
  <c r="G20" i="10"/>
  <c r="H20" i="10" s="1"/>
  <c r="I20" i="10" s="1"/>
  <c r="J20" i="10" s="1"/>
  <c r="K20" i="10" s="1"/>
  <c r="L20" i="10" s="1"/>
  <c r="M20" i="10" s="1"/>
  <c r="G15" i="10"/>
  <c r="H15" i="10" s="1"/>
  <c r="I15" i="10" s="1"/>
  <c r="J15" i="10" s="1"/>
  <c r="K15" i="10" s="1"/>
  <c r="L15" i="10" s="1"/>
  <c r="M15" i="10" s="1"/>
  <c r="N15" i="10" s="1"/>
  <c r="G13" i="10"/>
  <c r="H13" i="10" s="1"/>
  <c r="I13" i="10" s="1"/>
  <c r="J13" i="10" s="1"/>
  <c r="K13" i="10" s="1"/>
  <c r="L13" i="10" s="1"/>
  <c r="M13" i="10" s="1"/>
  <c r="N13" i="10" s="1"/>
  <c r="C12" i="90" l="1"/>
  <c r="D12" i="90" l="1"/>
  <c r="F12" i="90"/>
  <c r="F33" i="90"/>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N16" i="53"/>
  <c r="N10" i="53"/>
  <c r="M16" i="53"/>
  <c r="M10" i="53"/>
  <c r="L16" i="53"/>
  <c r="L10" i="53"/>
  <c r="K10" i="53"/>
  <c r="K16" i="53"/>
  <c r="J10" i="53"/>
  <c r="J16" i="53"/>
  <c r="I16" i="53"/>
  <c r="I10" i="53"/>
  <c r="H16" i="53"/>
  <c r="H10" i="53"/>
  <c r="G16" i="53"/>
  <c r="G10" i="53"/>
  <c r="F16" i="53"/>
  <c r="F10" i="53"/>
  <c r="F52" i="53" l="1"/>
  <c r="D53" i="78" l="1"/>
  <c r="F96" i="78" l="1"/>
  <c r="D13" i="10" l="1"/>
  <c r="C20" i="10"/>
  <c r="D15" i="10"/>
  <c r="C15" i="10"/>
  <c r="C13" i="10"/>
  <c r="J14" i="53" l="1"/>
  <c r="K14" i="53"/>
  <c r="L14" i="53"/>
  <c r="M14" i="53"/>
  <c r="N14" i="53"/>
  <c r="I14" i="53"/>
  <c r="F14" i="53"/>
  <c r="G14" i="53"/>
  <c r="H14" i="53"/>
  <c r="D40" i="53"/>
  <c r="D39" i="53"/>
  <c r="D37" i="53"/>
  <c r="D35" i="53"/>
  <c r="D34" i="53"/>
  <c r="D33" i="53"/>
  <c r="E20" i="78"/>
  <c r="F20" i="78" s="1"/>
  <c r="E33" i="53" l="1"/>
  <c r="F33" i="53"/>
  <c r="E35" i="53"/>
  <c r="F35" i="53"/>
  <c r="E37" i="53"/>
  <c r="F37" i="53"/>
  <c r="E34" i="53"/>
  <c r="F34" i="53" s="1"/>
  <c r="E39" i="53"/>
  <c r="F39" i="53" s="1"/>
  <c r="E40" i="53"/>
  <c r="F40" i="53" s="1"/>
  <c r="D20" i="10"/>
  <c r="D29" i="10"/>
  <c r="D28" i="10"/>
  <c r="C29" i="10"/>
  <c r="C28" i="10"/>
  <c r="E16" i="78"/>
  <c r="F16" i="78" s="1"/>
  <c r="E14" i="78"/>
  <c r="F14" i="78" s="1"/>
  <c r="E15" i="78"/>
  <c r="F15" i="78" s="1"/>
  <c r="E13" i="78"/>
  <c r="F13" i="78" s="1"/>
  <c r="D53" i="53" l="1"/>
  <c r="G52" i="53"/>
  <c r="H52" i="53" s="1"/>
  <c r="I52" i="53" s="1"/>
  <c r="J52" i="53" s="1"/>
  <c r="K52" i="53" s="1"/>
  <c r="L52" i="53" s="1"/>
  <c r="M52" i="53" s="1"/>
  <c r="N52" i="53" s="1"/>
  <c r="F53" i="53" l="1"/>
  <c r="G53" i="53" s="1"/>
  <c r="H53" i="53" s="1"/>
  <c r="I53" i="53" s="1"/>
  <c r="J53" i="53" s="1"/>
  <c r="K53" i="53" s="1"/>
  <c r="L53" i="53" s="1"/>
  <c r="M53" i="53" s="1"/>
  <c r="N53" i="53" s="1"/>
  <c r="G34" i="53"/>
  <c r="H34" i="53" s="1"/>
  <c r="I34" i="53" s="1"/>
  <c r="J34" i="53" s="1"/>
  <c r="K34" i="53" s="1"/>
  <c r="L34" i="53" s="1"/>
  <c r="M34" i="53" s="1"/>
  <c r="N34" i="53" s="1"/>
  <c r="G35" i="53"/>
  <c r="H35" i="53" s="1"/>
  <c r="I35" i="53" s="1"/>
  <c r="J35" i="53" s="1"/>
  <c r="K35" i="53" s="1"/>
  <c r="L35" i="53" s="1"/>
  <c r="M35" i="53" s="1"/>
  <c r="N35" i="53" s="1"/>
  <c r="D36" i="53"/>
  <c r="G37" i="53"/>
  <c r="H37" i="53" s="1"/>
  <c r="I37" i="53" s="1"/>
  <c r="J37" i="53" s="1"/>
  <c r="K37" i="53" s="1"/>
  <c r="L37" i="53" s="1"/>
  <c r="M37" i="53" s="1"/>
  <c r="N37" i="53" s="1"/>
  <c r="D38" i="53"/>
  <c r="G39" i="53"/>
  <c r="H39" i="53" s="1"/>
  <c r="I39" i="53" s="1"/>
  <c r="J39" i="53" s="1"/>
  <c r="K39" i="53" s="1"/>
  <c r="L39" i="53" s="1"/>
  <c r="M39" i="53" s="1"/>
  <c r="N39" i="53" s="1"/>
  <c r="G40" i="53"/>
  <c r="H40" i="53" s="1"/>
  <c r="I40" i="53" s="1"/>
  <c r="J40" i="53" s="1"/>
  <c r="K40" i="53" s="1"/>
  <c r="L40" i="53" s="1"/>
  <c r="M40" i="53" s="1"/>
  <c r="N40" i="53" s="1"/>
  <c r="D41" i="53"/>
  <c r="G33" i="53"/>
  <c r="H33" i="53" s="1"/>
  <c r="I33" i="53" s="1"/>
  <c r="J33" i="53" s="1"/>
  <c r="K33" i="53" s="1"/>
  <c r="L33" i="53" s="1"/>
  <c r="M33" i="53" s="1"/>
  <c r="N33" i="53" s="1"/>
  <c r="E36" i="53" l="1"/>
  <c r="F36" i="53"/>
  <c r="G38" i="53"/>
  <c r="H38" i="53" s="1"/>
  <c r="I38" i="53" s="1"/>
  <c r="J38" i="53" s="1"/>
  <c r="K38" i="53" s="1"/>
  <c r="L38" i="53" s="1"/>
  <c r="M38" i="53" s="1"/>
  <c r="N38" i="53" s="1"/>
  <c r="E38" i="53"/>
  <c r="E41" i="53"/>
  <c r="F41" i="53"/>
  <c r="U12" i="69"/>
  <c r="T12" i="69"/>
  <c r="S12" i="69"/>
  <c r="R12" i="69"/>
  <c r="Q12" i="69"/>
  <c r="P12" i="69"/>
  <c r="O12" i="69"/>
  <c r="N12" i="69"/>
  <c r="M12" i="69"/>
  <c r="L12" i="69"/>
  <c r="K12" i="69"/>
  <c r="J12" i="69"/>
  <c r="F14" i="69"/>
  <c r="G41" i="53" l="1"/>
  <c r="H41" i="53" s="1"/>
  <c r="I41" i="53" s="1"/>
  <c r="J41" i="53" s="1"/>
  <c r="K41" i="53" s="1"/>
  <c r="L41" i="53" s="1"/>
  <c r="M41" i="53" s="1"/>
  <c r="N41" i="53" s="1"/>
  <c r="G36" i="53"/>
  <c r="H36" i="53" s="1"/>
  <c r="I36" i="53" s="1"/>
  <c r="J36" i="53" s="1"/>
  <c r="K36" i="53" s="1"/>
  <c r="L36" i="53" s="1"/>
  <c r="M36" i="53" s="1"/>
  <c r="N36" i="53" s="1"/>
  <c r="C10" i="53"/>
  <c r="C17" i="53"/>
  <c r="C16" i="53"/>
  <c r="C15" i="53"/>
  <c r="C14" i="53"/>
  <c r="C12" i="53"/>
  <c r="C11" i="53"/>
  <c r="D17" i="53" l="1"/>
  <c r="E17" i="53"/>
  <c r="D12" i="53"/>
  <c r="E12" i="53"/>
  <c r="D14" i="53"/>
  <c r="E14" i="53"/>
  <c r="D15" i="53"/>
  <c r="E15" i="53"/>
  <c r="D16" i="53"/>
  <c r="E16" i="53"/>
  <c r="D10" i="53"/>
  <c r="E10" i="53"/>
  <c r="D11" i="53"/>
  <c r="E11" i="53" s="1"/>
  <c r="D72" i="78"/>
  <c r="AI48" i="89" l="1"/>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AK46" i="89" l="1"/>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T3" i="97" l="1"/>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Y13" i="97" s="1"/>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D1760" i="94"/>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06" i="94" l="1"/>
  <c r="D1621" i="94"/>
  <c r="B11" i="97"/>
  <c r="B12" i="97"/>
  <c r="D1707" i="94"/>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S33" i="97" s="1"/>
  <c r="W33" i="97" s="1"/>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O93" i="97"/>
  <c r="R1696" i="94" s="1"/>
  <c r="N93" i="97"/>
  <c r="M93" i="97"/>
  <c r="P1696" i="94" s="1"/>
  <c r="L93" i="97"/>
  <c r="K93" i="97"/>
  <c r="K29" i="97" s="1"/>
  <c r="J93" i="97"/>
  <c r="J29" i="97" s="1"/>
  <c r="M1638" i="94" s="1"/>
  <c r="I93" i="97"/>
  <c r="L1696" i="94" s="1"/>
  <c r="H93" i="97"/>
  <c r="G93" i="97"/>
  <c r="J1696" i="94" s="1"/>
  <c r="F93" i="97"/>
  <c r="E93" i="97"/>
  <c r="H1696" i="94" s="1"/>
  <c r="D93" i="97"/>
  <c r="S29" i="97" s="1"/>
  <c r="W29" i="97" s="1"/>
  <c r="O92" i="97"/>
  <c r="R1695" i="94" s="1"/>
  <c r="N92" i="97"/>
  <c r="M92" i="97"/>
  <c r="L92" i="97"/>
  <c r="O1695" i="94" s="1"/>
  <c r="K92" i="97"/>
  <c r="J92" i="97"/>
  <c r="I92" i="97"/>
  <c r="H92" i="97"/>
  <c r="K1695" i="94" s="1"/>
  <c r="G92" i="97"/>
  <c r="J1695" i="94" s="1"/>
  <c r="F92" i="97"/>
  <c r="E92" i="97"/>
  <c r="D92" i="97"/>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O89" i="97"/>
  <c r="R1692" i="94" s="1"/>
  <c r="N89" i="97"/>
  <c r="M89" i="97"/>
  <c r="P1692" i="94" s="1"/>
  <c r="L89" i="97"/>
  <c r="K89" i="97"/>
  <c r="K25" i="97" s="1"/>
  <c r="J89" i="97"/>
  <c r="J25" i="97" s="1"/>
  <c r="M1634" i="94" s="1"/>
  <c r="I89" i="97"/>
  <c r="L1692" i="94" s="1"/>
  <c r="H89" i="97"/>
  <c r="G89" i="97"/>
  <c r="J1692" i="94" s="1"/>
  <c r="F89" i="97"/>
  <c r="E89" i="97"/>
  <c r="H1692" i="94" s="1"/>
  <c r="D89" i="97"/>
  <c r="S25" i="97" s="1"/>
  <c r="W25" i="97" s="1"/>
  <c r="O88" i="97"/>
  <c r="R1691" i="94" s="1"/>
  <c r="N88" i="97"/>
  <c r="M88" i="97"/>
  <c r="L88" i="97"/>
  <c r="O1691" i="94" s="1"/>
  <c r="K88" i="97"/>
  <c r="J88" i="97"/>
  <c r="I88" i="97"/>
  <c r="H88" i="97"/>
  <c r="K1691" i="94" s="1"/>
  <c r="G88" i="97"/>
  <c r="J1691" i="94" s="1"/>
  <c r="F88" i="97"/>
  <c r="E88" i="97"/>
  <c r="D88" i="97"/>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S21" i="97" s="1"/>
  <c r="W21" i="97" s="1"/>
  <c r="D83" i="97"/>
  <c r="D19" i="97" s="1"/>
  <c r="O82" i="97"/>
  <c r="R1685" i="94" s="1"/>
  <c r="N82" i="97"/>
  <c r="M82" i="97"/>
  <c r="P1685" i="94" s="1"/>
  <c r="L82" i="97"/>
  <c r="O1685" i="94" s="1"/>
  <c r="K82" i="97"/>
  <c r="J82" i="97"/>
  <c r="I82" i="97"/>
  <c r="L1685" i="94" s="1"/>
  <c r="H82" i="97"/>
  <c r="K1685" i="94" s="1"/>
  <c r="G82" i="97"/>
  <c r="J1685" i="94" s="1"/>
  <c r="F82" i="97"/>
  <c r="E82" i="97"/>
  <c r="H1685" i="94" s="1"/>
  <c r="D82" i="97"/>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L34" i="97"/>
  <c r="O1643" i="94" s="1"/>
  <c r="H34" i="97"/>
  <c r="K1643" i="94" s="1"/>
  <c r="D34" i="97"/>
  <c r="L30" i="97"/>
  <c r="O1639" i="94" s="1"/>
  <c r="D30" i="97"/>
  <c r="L28" i="97"/>
  <c r="O1637" i="94" s="1"/>
  <c r="D28" i="97"/>
  <c r="H27" i="97"/>
  <c r="K1636" i="94" s="1"/>
  <c r="L26" i="97"/>
  <c r="O1635" i="94" s="1"/>
  <c r="D26" i="97"/>
  <c r="I25" i="97"/>
  <c r="L1634" i="94" s="1"/>
  <c r="L24" i="97"/>
  <c r="O1633" i="94" s="1"/>
  <c r="D24" i="97"/>
  <c r="H23" i="97"/>
  <c r="K1632" i="94" s="1"/>
  <c r="L22" i="97"/>
  <c r="O1631" i="94" s="1"/>
  <c r="D22" i="97"/>
  <c r="I21" i="97"/>
  <c r="L1630" i="94" s="1"/>
  <c r="L18" i="97"/>
  <c r="O1627" i="94" s="1"/>
  <c r="D18" i="97"/>
  <c r="M10" i="97"/>
  <c r="P1619" i="94" s="1"/>
  <c r="E33" i="97" l="1"/>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T34" i="97"/>
  <c r="X34" i="97" s="1"/>
  <c r="S1648" i="94"/>
  <c r="U1648" i="94" s="1"/>
  <c r="J12" i="97"/>
  <c r="M1621" i="94" s="1"/>
  <c r="N13" i="97"/>
  <c r="Q1622" i="94" s="1"/>
  <c r="F34" i="97"/>
  <c r="I1643" i="94" s="1"/>
  <c r="N1678" i="94"/>
  <c r="N1679" i="94"/>
  <c r="N1684" i="94"/>
  <c r="N1685" i="94"/>
  <c r="N1688" i="94"/>
  <c r="E171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17" i="97" l="1"/>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S1757" i="94"/>
  <c r="U1757" i="94" s="1"/>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45" i="94" l="1"/>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763" i="94" s="1"/>
  <c r="U1763" i="94" s="1"/>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B16" i="97" l="1"/>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D154" i="92"/>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I157" i="84" l="1"/>
  <c r="M78" i="97"/>
  <c r="M509" i="94"/>
  <c r="J78" i="97"/>
  <c r="H1681" i="94"/>
  <c r="E14" i="97"/>
  <c r="I509" i="94"/>
  <c r="F78" i="97"/>
  <c r="S14" i="97" s="1"/>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s="1"/>
  <c r="L1681" i="94"/>
  <c r="I14" i="97"/>
  <c r="L1623" i="94" s="1"/>
  <c r="L14" i="97"/>
  <c r="O1623" i="94" s="1"/>
  <c r="O1681" i="94"/>
  <c r="H1623" i="94"/>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T14" i="97" l="1"/>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O41" i="84"/>
  <c r="S32" i="94" s="1"/>
  <c r="U32" i="94" s="1"/>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S1737" i="94" l="1"/>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T19" i="9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P452" i="94"/>
  <c r="K450" i="94"/>
  <c r="R450" i="94"/>
  <c r="O450" i="94"/>
  <c r="C31" i="86"/>
  <c r="BZ31" i="84" s="1"/>
  <c r="B60" i="97" l="1"/>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B67" i="97"/>
  <c r="D1675" i="94"/>
  <c r="W27" i="84"/>
  <c r="D37" i="69"/>
  <c r="P37" i="84" s="1"/>
  <c r="S70" i="94" s="1"/>
  <c r="U70" i="94" s="1"/>
  <c r="A71" i="91"/>
  <c r="D1403" i="94" s="1"/>
  <c r="D1371" i="94"/>
  <c r="GT70" i="84"/>
  <c r="A106" i="8"/>
  <c r="D1150" i="94"/>
  <c r="D1181" i="94" s="1"/>
  <c r="D1212" i="94" s="1"/>
  <c r="D1243" i="94" s="1"/>
  <c r="D1274" i="94" s="1"/>
  <c r="D1305" i="94" s="1"/>
  <c r="GF105" i="84"/>
  <c r="P38" i="84"/>
  <c r="S71" i="94" s="1"/>
  <c r="U71" i="94" s="1"/>
  <c r="D13" i="69"/>
  <c r="P13" i="84" s="1"/>
  <c r="O13" i="84"/>
  <c r="H38" i="69"/>
  <c r="B72" i="97" l="1"/>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33" i="16"/>
  <c r="Q30" i="16"/>
  <c r="Q21" i="16"/>
  <c r="Q12" i="16"/>
  <c r="Q29" i="16"/>
  <c r="Q20" i="16"/>
  <c r="Q11" i="16"/>
  <c r="Q18" i="16"/>
  <c r="Q26" i="16"/>
  <c r="Q7" i="16"/>
  <c r="O5" i="60"/>
  <c r="Q15" i="16"/>
  <c r="Q34" i="16"/>
  <c r="Q14" i="16"/>
  <c r="Q22" i="16"/>
  <c r="Q13" i="16"/>
  <c r="Q28" i="16"/>
  <c r="Q19" i="16"/>
  <c r="Q10" i="16"/>
  <c r="O9" i="60"/>
  <c r="Q27" i="16"/>
  <c r="Q8" i="16"/>
  <c r="O7" i="60"/>
  <c r="Q16" i="16"/>
  <c r="Q25"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R16" i="16"/>
  <c r="C3" i="92"/>
  <c r="C5" i="53"/>
  <c r="B85" i="97" l="1"/>
  <c r="D1689" i="94"/>
  <c r="A55" i="53"/>
  <c r="D378" i="94"/>
  <c r="R8" i="16"/>
  <c r="P9" i="60"/>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I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I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J20" i="78" s="1"/>
  <c r="H19" i="92"/>
  <c r="I20" i="78" s="1"/>
  <c r="G19" i="92"/>
  <c r="H20" i="78" s="1"/>
  <c r="F19" i="92"/>
  <c r="G20" i="78" s="1"/>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S19" i="97" s="1"/>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W19" i="97" l="1"/>
  <c r="S1715" i="94"/>
  <c r="U1715" i="94" s="1"/>
  <c r="E1716" i="94"/>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H1628" i="94" l="1"/>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D395" i="94"/>
  <c r="S418" i="94"/>
  <c r="U418" i="94" s="1"/>
  <c r="O80" i="92"/>
  <c r="DT80" i="84" s="1"/>
  <c r="O133" i="92"/>
  <c r="DT133" i="84" s="1"/>
  <c r="O37" i="92"/>
  <c r="DT37" i="84" s="1"/>
  <c r="AF52" i="84"/>
  <c r="P42" i="94" s="1"/>
  <c r="W52" i="84"/>
  <c r="G42" i="94" s="1"/>
  <c r="W28" i="69"/>
  <c r="AJ28" i="84" s="1"/>
  <c r="J19" i="94"/>
  <c r="Q19" i="94"/>
  <c r="P19" i="94"/>
  <c r="H19" i="94"/>
  <c r="O19" i="94"/>
  <c r="M19" i="94"/>
  <c r="G19" i="94"/>
  <c r="A14" i="92"/>
  <c r="DF14" i="84" s="1"/>
  <c r="X19" i="97" l="1"/>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D396" i="94"/>
  <c r="X52" i="84"/>
  <c r="H42" i="94" s="1"/>
  <c r="AB52" i="84"/>
  <c r="L42" i="94" s="1"/>
  <c r="AG52" i="84"/>
  <c r="Q42" i="94" s="1"/>
  <c r="O28" i="84"/>
  <c r="W34" i="69"/>
  <c r="AJ34" i="84" s="1"/>
  <c r="A15" i="92"/>
  <c r="DF15" i="84" s="1"/>
  <c r="S1769" i="94" l="1"/>
  <c r="U1769" i="94" s="1"/>
  <c r="Y19" i="97"/>
  <c r="B93" i="97"/>
  <c r="D1697" i="94"/>
  <c r="DU159" i="84"/>
  <c r="S513" i="94"/>
  <c r="U513" i="94" s="1"/>
  <c r="A63" i="53"/>
  <c r="A65" i="53" s="1"/>
  <c r="D386" i="94"/>
  <c r="CO62" i="84"/>
  <c r="A16" i="92"/>
  <c r="DF16" i="84" s="1"/>
  <c r="D397" i="94"/>
  <c r="AH52" i="84"/>
  <c r="R42" i="94" s="1"/>
  <c r="AE52" i="84"/>
  <c r="O42" i="94" s="1"/>
  <c r="B94" i="97" l="1"/>
  <c r="D1698" i="94"/>
  <c r="D387" i="94"/>
  <c r="CO63" i="84"/>
  <c r="A17" i="92"/>
  <c r="DF17" i="84" s="1"/>
  <c r="D398" i="94"/>
  <c r="P28" i="84"/>
  <c r="W52" i="69"/>
  <c r="C52" i="69" s="1"/>
  <c r="B95" i="97" l="1"/>
  <c r="D1699" i="94"/>
  <c r="D388" i="94"/>
  <c r="CO64" i="84"/>
  <c r="A18" i="92"/>
  <c r="D399" i="94"/>
  <c r="B96" i="97" l="1"/>
  <c r="D1700" i="94"/>
  <c r="A19" i="92"/>
  <c r="DF19" i="84" s="1"/>
  <c r="DF18" i="84"/>
  <c r="D389" i="94"/>
  <c r="CO65" i="84"/>
  <c r="D400" i="94"/>
  <c r="A6" i="6"/>
  <c r="AE18" i="89"/>
  <c r="AE17" i="89"/>
  <c r="AE16" i="89"/>
  <c r="AE14" i="89"/>
  <c r="AE11" i="89"/>
  <c r="AE10" i="89"/>
  <c r="AF19" i="89"/>
  <c r="D401" i="94" l="1"/>
  <c r="A20" i="92"/>
  <c r="DF20" i="84" s="1"/>
  <c r="B97" i="97"/>
  <c r="D1701" i="94"/>
  <c r="W26" i="78"/>
  <c r="JD6" i="84"/>
  <c r="AE8" i="89"/>
  <c r="A21" i="92" l="1"/>
  <c r="DF21" i="84" s="1"/>
  <c r="D402" i="94"/>
  <c r="B98" i="97"/>
  <c r="D1702" i="94"/>
  <c r="D403" i="94" l="1"/>
  <c r="D514" i="94" s="1"/>
  <c r="A22" i="92"/>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24" i="94"/>
  <c r="U1324" i="94" s="1"/>
  <c r="HL19"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V17" i="91"/>
  <c r="W32" i="91"/>
  <c r="W19" i="91"/>
  <c r="W26" i="91"/>
  <c r="W34" i="91"/>
  <c r="W42" i="91"/>
  <c r="W28" i="91"/>
  <c r="W37" i="91"/>
  <c r="W1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V46" i="91" s="1"/>
  <c r="Z3" i="91" s="1"/>
  <c r="AA3" i="91" s="1"/>
  <c r="HL22" i="84"/>
  <c r="W20" i="91"/>
  <c r="W46" i="91" s="1"/>
  <c r="Z4" i="91" s="1"/>
  <c r="AA4" i="91" s="1"/>
  <c r="I21" i="69"/>
  <c r="U21" i="84" s="1"/>
  <c r="D93" i="94"/>
  <c r="D133" i="94"/>
  <c r="D53" i="94"/>
  <c r="D11" i="94"/>
  <c r="BF1" i="68"/>
  <c r="A12" i="10"/>
  <c r="A13" i="10" s="1"/>
  <c r="A14" i="10" s="1"/>
  <c r="O31" i="10"/>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IJ31" i="84"/>
  <c r="A13" i="78"/>
  <c r="A14" i="78" s="1"/>
  <c r="D272" i="94"/>
  <c r="BE12" i="84"/>
  <c r="A23" i="69"/>
  <c r="M22" i="84"/>
  <c r="D442" i="94"/>
  <c r="A70" i="92"/>
  <c r="DF70" i="84" s="1"/>
  <c r="AA5" i="91"/>
  <c r="C15" i="83" s="1"/>
  <c r="I22" i="69"/>
  <c r="U22" i="84" s="1"/>
  <c r="D54" i="94"/>
  <c r="D94" i="94"/>
  <c r="D134" i="94"/>
  <c r="D12" i="94"/>
  <c r="G10" i="90"/>
  <c r="LI1" i="84"/>
  <c r="A10" i="3"/>
  <c r="HO9" i="84"/>
  <c r="LG31" i="84" l="1"/>
  <c r="C36" i="90"/>
  <c r="LG36" i="84" s="1"/>
  <c r="AZ45" i="84"/>
  <c r="D267" i="94" s="1"/>
  <c r="A47" i="9"/>
  <c r="C20" i="60"/>
  <c r="MJ19" i="84"/>
  <c r="A16" i="10"/>
  <c r="HV15" i="84"/>
  <c r="Z1" i="91"/>
  <c r="D274" i="94"/>
  <c r="BE14" i="84"/>
  <c r="D273" i="94"/>
  <c r="BE13" i="84"/>
  <c r="A24" i="69"/>
  <c r="M23" i="84"/>
  <c r="A71" i="92"/>
  <c r="DF71" i="84" s="1"/>
  <c r="D443" i="94"/>
  <c r="C5" i="91"/>
  <c r="GV5" i="84" s="1"/>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J66" i="89" s="1"/>
  <c r="BO66" i="89"/>
  <c r="I70" i="89"/>
  <c r="BO70" i="89"/>
  <c r="I74" i="89"/>
  <c r="BO74" i="89"/>
  <c r="I78" i="89"/>
  <c r="BO78" i="89"/>
  <c r="I82" i="89"/>
  <c r="BJ82" i="89" s="1"/>
  <c r="BO82" i="89"/>
  <c r="I86" i="89"/>
  <c r="BO86" i="89"/>
  <c r="I90" i="89"/>
  <c r="BO90" i="89"/>
  <c r="I94" i="89"/>
  <c r="BO94" i="89"/>
  <c r="I98" i="89"/>
  <c r="BJ98" i="89" s="1"/>
  <c r="BO98" i="89"/>
  <c r="I102" i="89"/>
  <c r="BO102" i="89"/>
  <c r="I106" i="89"/>
  <c r="BO106" i="89"/>
  <c r="I110" i="89"/>
  <c r="BO110" i="89"/>
  <c r="I114" i="89"/>
  <c r="BJ114" i="89" s="1"/>
  <c r="BO114" i="89"/>
  <c r="I118" i="89"/>
  <c r="BO118" i="89"/>
  <c r="I122" i="89"/>
  <c r="BO122" i="89"/>
  <c r="I126" i="89"/>
  <c r="BO126" i="89"/>
  <c r="I130" i="89"/>
  <c r="BJ130" i="89" s="1"/>
  <c r="BO130" i="89"/>
  <c r="I134" i="89"/>
  <c r="BO134" i="89"/>
  <c r="I138" i="89"/>
  <c r="BO138" i="89"/>
  <c r="I142" i="89"/>
  <c r="BO142" i="89"/>
  <c r="I146" i="89"/>
  <c r="BJ146" i="89" s="1"/>
  <c r="BO146" i="89"/>
  <c r="I150" i="89"/>
  <c r="BO150" i="89"/>
  <c r="I154" i="89"/>
  <c r="BO154" i="89"/>
  <c r="I158" i="89"/>
  <c r="BO158" i="89"/>
  <c r="I162" i="89"/>
  <c r="BJ162" i="89" s="1"/>
  <c r="BO162" i="89"/>
  <c r="I166" i="89"/>
  <c r="BO166" i="89"/>
  <c r="I170" i="89"/>
  <c r="BO170" i="89"/>
  <c r="I174" i="89"/>
  <c r="BO174" i="89"/>
  <c r="I178" i="89"/>
  <c r="BJ178" i="89" s="1"/>
  <c r="BO178" i="89"/>
  <c r="I182" i="89"/>
  <c r="BO182" i="89"/>
  <c r="I186" i="89"/>
  <c r="BO186" i="89"/>
  <c r="I190" i="89"/>
  <c r="BO190" i="89"/>
  <c r="I194" i="89"/>
  <c r="BJ194" i="89" s="1"/>
  <c r="BO194" i="89"/>
  <c r="I198" i="89"/>
  <c r="BO198" i="89"/>
  <c r="I202" i="89"/>
  <c r="BO202" i="89"/>
  <c r="I206" i="89"/>
  <c r="BO206" i="89"/>
  <c r="I210" i="89"/>
  <c r="BJ210" i="89" s="1"/>
  <c r="BO210" i="89"/>
  <c r="I214" i="89"/>
  <c r="BO214" i="89"/>
  <c r="I218" i="89"/>
  <c r="BO218" i="89"/>
  <c r="I222" i="89"/>
  <c r="BO222" i="89"/>
  <c r="I226" i="89"/>
  <c r="BJ226" i="89" s="1"/>
  <c r="BO226" i="89"/>
  <c r="I230" i="89"/>
  <c r="BO230" i="89"/>
  <c r="I234" i="89"/>
  <c r="BO234" i="89"/>
  <c r="I238" i="89"/>
  <c r="BO238" i="89"/>
  <c r="I242" i="89"/>
  <c r="BJ242" i="89" s="1"/>
  <c r="BO242" i="89"/>
  <c r="I246" i="89"/>
  <c r="BO246" i="89"/>
  <c r="I250" i="89"/>
  <c r="BO250" i="89"/>
  <c r="I254" i="89"/>
  <c r="BO254" i="89"/>
  <c r="I258" i="89"/>
  <c r="BJ258" i="89" s="1"/>
  <c r="BO258" i="89"/>
  <c r="I262" i="89"/>
  <c r="BO262" i="89"/>
  <c r="I266" i="89"/>
  <c r="BO266" i="89"/>
  <c r="I270" i="89"/>
  <c r="BO270" i="89"/>
  <c r="I274" i="89"/>
  <c r="BJ274" i="89" s="1"/>
  <c r="BO274" i="89"/>
  <c r="I278" i="89"/>
  <c r="BO278" i="89"/>
  <c r="I282" i="89"/>
  <c r="BO282" i="89"/>
  <c r="I286" i="89"/>
  <c r="BO286" i="89"/>
  <c r="I290" i="89"/>
  <c r="BJ290" i="89" s="1"/>
  <c r="BO290" i="89"/>
  <c r="I294" i="89"/>
  <c r="BO294" i="89"/>
  <c r="I298" i="89"/>
  <c r="BO298" i="89"/>
  <c r="I302" i="89"/>
  <c r="BO302" i="89"/>
  <c r="I306" i="89"/>
  <c r="BJ306" i="89" s="1"/>
  <c r="BO306" i="89"/>
  <c r="I310" i="89"/>
  <c r="BO310" i="89"/>
  <c r="I314" i="89"/>
  <c r="BO314" i="89"/>
  <c r="I318" i="89"/>
  <c r="BO318" i="89"/>
  <c r="I322" i="89"/>
  <c r="BJ322" i="89" s="1"/>
  <c r="BO322" i="89"/>
  <c r="I326" i="89"/>
  <c r="BO326" i="89"/>
  <c r="I330" i="89"/>
  <c r="BO330" i="89"/>
  <c r="I334" i="89"/>
  <c r="BO334" i="89"/>
  <c r="I338" i="89"/>
  <c r="BJ338" i="89" s="1"/>
  <c r="BO338" i="89"/>
  <c r="I342" i="89"/>
  <c r="BO342" i="89"/>
  <c r="I346" i="89"/>
  <c r="BO346" i="89"/>
  <c r="I350" i="89"/>
  <c r="BO350" i="89"/>
  <c r="I354" i="89"/>
  <c r="BJ354" i="89" s="1"/>
  <c r="BO354" i="89"/>
  <c r="I358" i="89"/>
  <c r="BO358" i="89"/>
  <c r="I362" i="89"/>
  <c r="BO362" i="89"/>
  <c r="I366" i="89"/>
  <c r="BO366" i="89"/>
  <c r="I370" i="89"/>
  <c r="BJ370" i="89" s="1"/>
  <c r="BO370" i="89"/>
  <c r="I374" i="89"/>
  <c r="BO374" i="89"/>
  <c r="I378" i="89"/>
  <c r="BO378" i="89"/>
  <c r="I382" i="89"/>
  <c r="BO382" i="89"/>
  <c r="I386" i="89"/>
  <c r="BJ386" i="89" s="1"/>
  <c r="BO386" i="89"/>
  <c r="I390" i="89"/>
  <c r="BO390" i="89"/>
  <c r="I394" i="89"/>
  <c r="BO394" i="89"/>
  <c r="I398" i="89"/>
  <c r="BO398" i="89"/>
  <c r="I402" i="89"/>
  <c r="BJ402" i="89" s="1"/>
  <c r="BO402" i="89"/>
  <c r="I406" i="89"/>
  <c r="BO406" i="89"/>
  <c r="I410" i="89"/>
  <c r="BO410" i="89"/>
  <c r="I414" i="89"/>
  <c r="BO414" i="89"/>
  <c r="I418" i="89"/>
  <c r="BJ418" i="89" s="1"/>
  <c r="BO418" i="89"/>
  <c r="I422" i="89"/>
  <c r="BO422" i="89"/>
  <c r="I426" i="89"/>
  <c r="BO426" i="89"/>
  <c r="I430" i="89"/>
  <c r="BO430" i="89"/>
  <c r="I434" i="89"/>
  <c r="BJ434" i="89" s="1"/>
  <c r="BO434" i="89"/>
  <c r="I438" i="89"/>
  <c r="BO438" i="89"/>
  <c r="I442" i="89"/>
  <c r="BO442" i="89"/>
  <c r="I446" i="89"/>
  <c r="BO446" i="89"/>
  <c r="I450" i="89"/>
  <c r="BJ450" i="89" s="1"/>
  <c r="BO450" i="89"/>
  <c r="I454" i="89"/>
  <c r="BO454" i="89"/>
  <c r="I458" i="89"/>
  <c r="BO458" i="89"/>
  <c r="I462" i="89"/>
  <c r="BO462" i="89"/>
  <c r="I466" i="89"/>
  <c r="BJ466" i="89" s="1"/>
  <c r="BO466" i="89"/>
  <c r="I470" i="89"/>
  <c r="BO470" i="89"/>
  <c r="I474" i="89"/>
  <c r="BO474" i="89"/>
  <c r="I478" i="89"/>
  <c r="BO478" i="89"/>
  <c r="I482" i="89"/>
  <c r="BJ482" i="89" s="1"/>
  <c r="BO482" i="89"/>
  <c r="I53" i="89"/>
  <c r="BO53" i="89"/>
  <c r="I57" i="89"/>
  <c r="BO57" i="89"/>
  <c r="I61" i="89"/>
  <c r="BO61" i="89"/>
  <c r="I65" i="89"/>
  <c r="BO65" i="89"/>
  <c r="I69" i="89"/>
  <c r="BO69" i="89"/>
  <c r="I73" i="89"/>
  <c r="BO73" i="89"/>
  <c r="I77" i="89"/>
  <c r="BO77" i="89"/>
  <c r="I81" i="89"/>
  <c r="BJ81" i="89" s="1"/>
  <c r="BO81" i="89"/>
  <c r="I85" i="89"/>
  <c r="BO85" i="89"/>
  <c r="I89" i="89"/>
  <c r="BO89" i="89"/>
  <c r="I93" i="89"/>
  <c r="BO93" i="89"/>
  <c r="I97" i="89"/>
  <c r="BJ97" i="89" s="1"/>
  <c r="BO97" i="89"/>
  <c r="I101" i="89"/>
  <c r="BO101" i="89"/>
  <c r="I105" i="89"/>
  <c r="BO105" i="89"/>
  <c r="I109" i="89"/>
  <c r="BO109" i="89"/>
  <c r="I113" i="89"/>
  <c r="BJ113" i="89" s="1"/>
  <c r="BO113" i="89"/>
  <c r="I117" i="89"/>
  <c r="BO117" i="89"/>
  <c r="I121" i="89"/>
  <c r="BO121" i="89"/>
  <c r="I125" i="89"/>
  <c r="BO125" i="89"/>
  <c r="I129" i="89"/>
  <c r="BJ129" i="89" s="1"/>
  <c r="BO129" i="89"/>
  <c r="I133" i="89"/>
  <c r="BO133" i="89"/>
  <c r="I137" i="89"/>
  <c r="BO137" i="89"/>
  <c r="I141" i="89"/>
  <c r="BO141" i="89"/>
  <c r="I145" i="89"/>
  <c r="BJ145" i="89" s="1"/>
  <c r="BO145" i="89"/>
  <c r="I149" i="89"/>
  <c r="BO149" i="89"/>
  <c r="I153" i="89"/>
  <c r="BO153" i="89"/>
  <c r="I157" i="89"/>
  <c r="BO157" i="89"/>
  <c r="I161" i="89"/>
  <c r="BJ161" i="89" s="1"/>
  <c r="BO161" i="89"/>
  <c r="I165" i="89"/>
  <c r="BO165" i="89"/>
  <c r="I169" i="89"/>
  <c r="BO169" i="89"/>
  <c r="I173" i="89"/>
  <c r="BO173" i="89"/>
  <c r="I177" i="89"/>
  <c r="BJ177" i="89" s="1"/>
  <c r="BO177" i="89"/>
  <c r="I181" i="89"/>
  <c r="BO181" i="89"/>
  <c r="I185" i="89"/>
  <c r="BO185" i="89"/>
  <c r="I189" i="89"/>
  <c r="BO189" i="89"/>
  <c r="I193" i="89"/>
  <c r="BJ193" i="89" s="1"/>
  <c r="BO193" i="89"/>
  <c r="I197" i="89"/>
  <c r="BO197" i="89"/>
  <c r="I201" i="89"/>
  <c r="BO201" i="89"/>
  <c r="I205" i="89"/>
  <c r="BO205" i="89"/>
  <c r="I209" i="89"/>
  <c r="BJ209" i="89" s="1"/>
  <c r="BO209" i="89"/>
  <c r="I213" i="89"/>
  <c r="BO213" i="89"/>
  <c r="I217" i="89"/>
  <c r="BO217" i="89"/>
  <c r="I221" i="89"/>
  <c r="BO221" i="89"/>
  <c r="I225" i="89"/>
  <c r="BJ225" i="89" s="1"/>
  <c r="BO225" i="89"/>
  <c r="I229" i="89"/>
  <c r="BO229" i="89"/>
  <c r="I233" i="89"/>
  <c r="BO233" i="89"/>
  <c r="I237" i="89"/>
  <c r="BO237" i="89"/>
  <c r="I241" i="89"/>
  <c r="BJ241" i="89" s="1"/>
  <c r="BO241" i="89"/>
  <c r="I245" i="89"/>
  <c r="BO245" i="89"/>
  <c r="I249" i="89"/>
  <c r="BO249" i="89"/>
  <c r="I253" i="89"/>
  <c r="BO253" i="89"/>
  <c r="I257" i="89"/>
  <c r="BJ257" i="89" s="1"/>
  <c r="BO257" i="89"/>
  <c r="I261" i="89"/>
  <c r="BO261" i="89"/>
  <c r="I265" i="89"/>
  <c r="BO265" i="89"/>
  <c r="I269" i="89"/>
  <c r="BO269" i="89"/>
  <c r="I273" i="89"/>
  <c r="BJ273" i="89" s="1"/>
  <c r="BO273" i="89"/>
  <c r="I277" i="89"/>
  <c r="BO277" i="89"/>
  <c r="I281" i="89"/>
  <c r="BO281" i="89"/>
  <c r="I285" i="89"/>
  <c r="BO285" i="89"/>
  <c r="I289" i="89"/>
  <c r="BJ289" i="89" s="1"/>
  <c r="BO289" i="89"/>
  <c r="I293" i="89"/>
  <c r="BO293" i="89"/>
  <c r="I297" i="89"/>
  <c r="BO297" i="89"/>
  <c r="I301" i="89"/>
  <c r="BO301" i="89"/>
  <c r="I305" i="89"/>
  <c r="BJ305" i="89" s="1"/>
  <c r="BO305" i="89"/>
  <c r="I309" i="89"/>
  <c r="BO309" i="89"/>
  <c r="I313" i="89"/>
  <c r="BO313" i="89"/>
  <c r="I317" i="89"/>
  <c r="BO317" i="89"/>
  <c r="I321" i="89"/>
  <c r="BJ321" i="89" s="1"/>
  <c r="BO321" i="89"/>
  <c r="I325" i="89"/>
  <c r="BO325" i="89"/>
  <c r="I329" i="89"/>
  <c r="BO329" i="89"/>
  <c r="I333" i="89"/>
  <c r="BO333" i="89"/>
  <c r="I337" i="89"/>
  <c r="BJ337" i="89" s="1"/>
  <c r="BO337" i="89"/>
  <c r="I341" i="89"/>
  <c r="BO341" i="89"/>
  <c r="I345" i="89"/>
  <c r="BO345" i="89"/>
  <c r="I349" i="89"/>
  <c r="BO349" i="89"/>
  <c r="I353" i="89"/>
  <c r="BJ353" i="89" s="1"/>
  <c r="BO353" i="89"/>
  <c r="I357" i="89"/>
  <c r="BO357" i="89"/>
  <c r="I361" i="89"/>
  <c r="BO361" i="89"/>
  <c r="I365" i="89"/>
  <c r="BO365" i="89"/>
  <c r="I369" i="89"/>
  <c r="BJ369" i="89" s="1"/>
  <c r="BO369" i="89"/>
  <c r="I373" i="89"/>
  <c r="BO373" i="89"/>
  <c r="I377" i="89"/>
  <c r="BO377" i="89"/>
  <c r="I381" i="89"/>
  <c r="BO381" i="89"/>
  <c r="I385" i="89"/>
  <c r="BJ385" i="89" s="1"/>
  <c r="BO385" i="89"/>
  <c r="I389" i="89"/>
  <c r="BO389" i="89"/>
  <c r="I393" i="89"/>
  <c r="BO393" i="89"/>
  <c r="I397" i="89"/>
  <c r="BO397" i="89"/>
  <c r="I401" i="89"/>
  <c r="BJ401" i="89" s="1"/>
  <c r="BO401" i="89"/>
  <c r="I405" i="89"/>
  <c r="BO405" i="89"/>
  <c r="I409" i="89"/>
  <c r="BO409" i="89"/>
  <c r="I413" i="89"/>
  <c r="BO413" i="89"/>
  <c r="I417" i="89"/>
  <c r="BJ417" i="89" s="1"/>
  <c r="BO417" i="89"/>
  <c r="I421" i="89"/>
  <c r="BO421" i="89"/>
  <c r="I425" i="89"/>
  <c r="BO425" i="89"/>
  <c r="I429" i="89"/>
  <c r="BO429" i="89"/>
  <c r="I433" i="89"/>
  <c r="BJ433" i="89" s="1"/>
  <c r="BO433" i="89"/>
  <c r="I437" i="89"/>
  <c r="BO437" i="89"/>
  <c r="I441" i="89"/>
  <c r="BO441" i="89"/>
  <c r="I445" i="89"/>
  <c r="BO445" i="89"/>
  <c r="I449" i="89"/>
  <c r="BJ449" i="89" s="1"/>
  <c r="BO449" i="89"/>
  <c r="I453" i="89"/>
  <c r="BO453" i="89"/>
  <c r="I457" i="89"/>
  <c r="BO457" i="89"/>
  <c r="I461" i="89"/>
  <c r="BO461" i="89"/>
  <c r="I465" i="89"/>
  <c r="BJ465" i="89" s="1"/>
  <c r="BO465" i="89"/>
  <c r="I469" i="89"/>
  <c r="BO469" i="89"/>
  <c r="I473" i="89"/>
  <c r="BO473" i="89"/>
  <c r="I477" i="89"/>
  <c r="BO477" i="89"/>
  <c r="I481" i="89"/>
  <c r="BJ481" i="89" s="1"/>
  <c r="BO481" i="89"/>
  <c r="I52" i="89"/>
  <c r="BO52" i="89"/>
  <c r="I56" i="89"/>
  <c r="BO56" i="89"/>
  <c r="I60" i="89"/>
  <c r="BO60" i="89"/>
  <c r="I64" i="89"/>
  <c r="BJ64" i="89" s="1"/>
  <c r="BO64" i="89"/>
  <c r="I68" i="89"/>
  <c r="BO68" i="89"/>
  <c r="I72" i="89"/>
  <c r="BO72" i="89"/>
  <c r="I76" i="89"/>
  <c r="BO76" i="89"/>
  <c r="I80" i="89"/>
  <c r="BJ80" i="89" s="1"/>
  <c r="BO80" i="89"/>
  <c r="I84" i="89"/>
  <c r="BO84" i="89"/>
  <c r="I88" i="89"/>
  <c r="BO88" i="89"/>
  <c r="I92" i="89"/>
  <c r="BO92" i="89"/>
  <c r="I96" i="89"/>
  <c r="BJ96" i="89" s="1"/>
  <c r="BO96" i="89"/>
  <c r="I100" i="89"/>
  <c r="BO100" i="89"/>
  <c r="I104" i="89"/>
  <c r="BO104" i="89"/>
  <c r="I108" i="89"/>
  <c r="BO108" i="89"/>
  <c r="I112" i="89"/>
  <c r="BJ112" i="89" s="1"/>
  <c r="BO112" i="89"/>
  <c r="I116" i="89"/>
  <c r="BO116" i="89"/>
  <c r="I120" i="89"/>
  <c r="BO120" i="89"/>
  <c r="I124" i="89"/>
  <c r="BO124" i="89"/>
  <c r="I128" i="89"/>
  <c r="BJ128" i="89" s="1"/>
  <c r="BO128" i="89"/>
  <c r="I132" i="89"/>
  <c r="BO132" i="89"/>
  <c r="I136" i="89"/>
  <c r="BO136" i="89"/>
  <c r="I140" i="89"/>
  <c r="BO140" i="89"/>
  <c r="I144" i="89"/>
  <c r="BJ144" i="89" s="1"/>
  <c r="BO144" i="89"/>
  <c r="I148" i="89"/>
  <c r="BO148" i="89"/>
  <c r="I152" i="89"/>
  <c r="BO152" i="89"/>
  <c r="I156" i="89"/>
  <c r="BO156" i="89"/>
  <c r="I160" i="89"/>
  <c r="BJ160" i="89" s="1"/>
  <c r="BO160" i="89"/>
  <c r="I164" i="89"/>
  <c r="BO164" i="89"/>
  <c r="I168" i="89"/>
  <c r="BO168" i="89"/>
  <c r="I172" i="89"/>
  <c r="BO172" i="89"/>
  <c r="I176" i="89"/>
  <c r="BJ176" i="89" s="1"/>
  <c r="BO176" i="89"/>
  <c r="I180" i="89"/>
  <c r="BO180" i="89"/>
  <c r="I184" i="89"/>
  <c r="BO184" i="89"/>
  <c r="I188" i="89"/>
  <c r="BO188" i="89"/>
  <c r="I192" i="89"/>
  <c r="BJ192" i="89" s="1"/>
  <c r="BO192" i="89"/>
  <c r="I196" i="89"/>
  <c r="BO196" i="89"/>
  <c r="I200" i="89"/>
  <c r="BO200" i="89"/>
  <c r="I204" i="89"/>
  <c r="BO204" i="89"/>
  <c r="I208" i="89"/>
  <c r="BJ208" i="89" s="1"/>
  <c r="BO208" i="89"/>
  <c r="I212" i="89"/>
  <c r="BO212" i="89"/>
  <c r="I216" i="89"/>
  <c r="BO216" i="89"/>
  <c r="I220" i="89"/>
  <c r="BO220" i="89"/>
  <c r="I224" i="89"/>
  <c r="BJ224" i="89" s="1"/>
  <c r="BO224" i="89"/>
  <c r="I228" i="89"/>
  <c r="BO228" i="89"/>
  <c r="I232" i="89"/>
  <c r="BO232" i="89"/>
  <c r="I236" i="89"/>
  <c r="BO236" i="89"/>
  <c r="I240" i="89"/>
  <c r="BO240" i="89"/>
  <c r="I244" i="89"/>
  <c r="BO244" i="89"/>
  <c r="I248" i="89"/>
  <c r="BO248" i="89"/>
  <c r="I252" i="89"/>
  <c r="BO252" i="89"/>
  <c r="I256" i="89"/>
  <c r="BJ256" i="89" s="1"/>
  <c r="BO256" i="89"/>
  <c r="I260" i="89"/>
  <c r="BO260" i="89"/>
  <c r="I264" i="89"/>
  <c r="BO264" i="89"/>
  <c r="I268" i="89"/>
  <c r="BO268" i="89"/>
  <c r="I272" i="89"/>
  <c r="BJ272" i="89" s="1"/>
  <c r="BO272" i="89"/>
  <c r="I276" i="89"/>
  <c r="BO276" i="89"/>
  <c r="I280" i="89"/>
  <c r="BO280" i="89"/>
  <c r="I284" i="89"/>
  <c r="BO284" i="89"/>
  <c r="I288" i="89"/>
  <c r="BJ288" i="89" s="1"/>
  <c r="BO288" i="89"/>
  <c r="I292" i="89"/>
  <c r="BO292" i="89"/>
  <c r="I296" i="89"/>
  <c r="BO296" i="89"/>
  <c r="I300" i="89"/>
  <c r="BO300" i="89"/>
  <c r="I304" i="89"/>
  <c r="BJ304" i="89" s="1"/>
  <c r="BO304" i="89"/>
  <c r="I308" i="89"/>
  <c r="BO308" i="89"/>
  <c r="I312" i="89"/>
  <c r="BO312" i="89"/>
  <c r="I316" i="89"/>
  <c r="BO316" i="89"/>
  <c r="I320" i="89"/>
  <c r="BJ320" i="89" s="1"/>
  <c r="BO320" i="89"/>
  <c r="I324" i="89"/>
  <c r="BO324" i="89"/>
  <c r="I328" i="89"/>
  <c r="BO328" i="89"/>
  <c r="I332" i="89"/>
  <c r="BO332" i="89"/>
  <c r="I336" i="89"/>
  <c r="BJ336" i="89" s="1"/>
  <c r="BO336" i="89"/>
  <c r="I340" i="89"/>
  <c r="BO340" i="89"/>
  <c r="I344" i="89"/>
  <c r="BO344" i="89"/>
  <c r="I348" i="89"/>
  <c r="BO348" i="89"/>
  <c r="I352" i="89"/>
  <c r="BJ352" i="89" s="1"/>
  <c r="BO352" i="89"/>
  <c r="I356" i="89"/>
  <c r="BO356" i="89"/>
  <c r="I360" i="89"/>
  <c r="BO360" i="89"/>
  <c r="I364" i="89"/>
  <c r="BO364" i="89"/>
  <c r="I368" i="89"/>
  <c r="BJ368" i="89" s="1"/>
  <c r="BO368" i="89"/>
  <c r="I372" i="89"/>
  <c r="BO372" i="89"/>
  <c r="I376" i="89"/>
  <c r="BO376" i="89"/>
  <c r="I380" i="89"/>
  <c r="BO380" i="89"/>
  <c r="I384" i="89"/>
  <c r="BJ384" i="89" s="1"/>
  <c r="BO384" i="89"/>
  <c r="I388" i="89"/>
  <c r="BO388" i="89"/>
  <c r="I392" i="89"/>
  <c r="BO392" i="89"/>
  <c r="I396" i="89"/>
  <c r="BO396" i="89"/>
  <c r="I400" i="89"/>
  <c r="BJ400" i="89" s="1"/>
  <c r="BO400" i="89"/>
  <c r="I404" i="89"/>
  <c r="BO404" i="89"/>
  <c r="I408" i="89"/>
  <c r="BO408" i="89"/>
  <c r="I412" i="89"/>
  <c r="BO412" i="89"/>
  <c r="I416" i="89"/>
  <c r="BJ416" i="89" s="1"/>
  <c r="BO416" i="89"/>
  <c r="I420" i="89"/>
  <c r="BO420" i="89"/>
  <c r="I424" i="89"/>
  <c r="BO424" i="89"/>
  <c r="I428" i="89"/>
  <c r="BO428" i="89"/>
  <c r="I432" i="89"/>
  <c r="BJ432" i="89" s="1"/>
  <c r="BO432" i="89"/>
  <c r="I436" i="89"/>
  <c r="BO436" i="89"/>
  <c r="I440" i="89"/>
  <c r="BO440" i="89"/>
  <c r="I444" i="89"/>
  <c r="BO444" i="89"/>
  <c r="I448" i="89"/>
  <c r="BJ448" i="89" s="1"/>
  <c r="BO448" i="89"/>
  <c r="I452" i="89"/>
  <c r="BO452" i="89"/>
  <c r="I456" i="89"/>
  <c r="BO456" i="89"/>
  <c r="I460" i="89"/>
  <c r="BO460" i="89"/>
  <c r="I464" i="89"/>
  <c r="BJ464" i="89" s="1"/>
  <c r="BO464" i="89"/>
  <c r="I468" i="89"/>
  <c r="BO468" i="89"/>
  <c r="I472" i="89"/>
  <c r="BO472" i="89"/>
  <c r="I476" i="89"/>
  <c r="BO476" i="89"/>
  <c r="I480" i="89"/>
  <c r="BJ480" i="89" s="1"/>
  <c r="BO480" i="89"/>
  <c r="I51" i="89"/>
  <c r="BO51" i="89"/>
  <c r="I55" i="89"/>
  <c r="BO55" i="89"/>
  <c r="I59" i="89"/>
  <c r="BO59" i="89"/>
  <c r="I63" i="89"/>
  <c r="BJ63" i="89" s="1"/>
  <c r="BO63" i="89"/>
  <c r="I67" i="89"/>
  <c r="BO67" i="89"/>
  <c r="I71" i="89"/>
  <c r="BO71" i="89"/>
  <c r="I75" i="89"/>
  <c r="BO75" i="89"/>
  <c r="I79" i="89"/>
  <c r="BJ79" i="89" s="1"/>
  <c r="BO79" i="89"/>
  <c r="I83" i="89"/>
  <c r="BO83" i="89"/>
  <c r="I87" i="89"/>
  <c r="BO87" i="89"/>
  <c r="I91" i="89"/>
  <c r="BO91" i="89"/>
  <c r="I95" i="89"/>
  <c r="BJ95" i="89" s="1"/>
  <c r="BO95" i="89"/>
  <c r="I99" i="89"/>
  <c r="BO99" i="89"/>
  <c r="I103" i="89"/>
  <c r="BO103" i="89"/>
  <c r="I107" i="89"/>
  <c r="BO107" i="89"/>
  <c r="I111" i="89"/>
  <c r="BJ111" i="89" s="1"/>
  <c r="BO111" i="89"/>
  <c r="I115" i="89"/>
  <c r="BO115" i="89"/>
  <c r="I119" i="89"/>
  <c r="BO119" i="89"/>
  <c r="I123" i="89"/>
  <c r="BO123" i="89"/>
  <c r="I127" i="89"/>
  <c r="BJ127" i="89" s="1"/>
  <c r="BO127" i="89"/>
  <c r="I131" i="89"/>
  <c r="BO131" i="89"/>
  <c r="I135" i="89"/>
  <c r="BO135" i="89"/>
  <c r="I139" i="89"/>
  <c r="BO139" i="89"/>
  <c r="I143" i="89"/>
  <c r="BJ143" i="89" s="1"/>
  <c r="BO143" i="89"/>
  <c r="I147" i="89"/>
  <c r="BO147" i="89"/>
  <c r="I151" i="89"/>
  <c r="BO151" i="89"/>
  <c r="I155" i="89"/>
  <c r="BO155" i="89"/>
  <c r="I159" i="89"/>
  <c r="BJ159" i="89" s="1"/>
  <c r="BO159" i="89"/>
  <c r="I163" i="89"/>
  <c r="BO163" i="89"/>
  <c r="I167" i="89"/>
  <c r="BO167" i="89"/>
  <c r="I171" i="89"/>
  <c r="BO171" i="89"/>
  <c r="I175" i="89"/>
  <c r="BJ175" i="89" s="1"/>
  <c r="BO175" i="89"/>
  <c r="I179" i="89"/>
  <c r="BO179" i="89"/>
  <c r="I183" i="89"/>
  <c r="BO183" i="89"/>
  <c r="I187" i="89"/>
  <c r="BO187" i="89"/>
  <c r="I191" i="89"/>
  <c r="BJ191" i="89" s="1"/>
  <c r="BO191" i="89"/>
  <c r="I195" i="89"/>
  <c r="BO195" i="89"/>
  <c r="I199" i="89"/>
  <c r="BO199" i="89"/>
  <c r="I203" i="89"/>
  <c r="BO203" i="89"/>
  <c r="I207" i="89"/>
  <c r="BJ207" i="89" s="1"/>
  <c r="BO207" i="89"/>
  <c r="I211" i="89"/>
  <c r="BO211" i="89"/>
  <c r="I215" i="89"/>
  <c r="BO215" i="89"/>
  <c r="I219" i="89"/>
  <c r="BO219" i="89"/>
  <c r="I223" i="89"/>
  <c r="BJ223" i="89" s="1"/>
  <c r="BO223" i="89"/>
  <c r="I227" i="89"/>
  <c r="BO227" i="89"/>
  <c r="I231" i="89"/>
  <c r="BO231" i="89"/>
  <c r="I235" i="89"/>
  <c r="BO235" i="89"/>
  <c r="I239" i="89"/>
  <c r="BJ239" i="89" s="1"/>
  <c r="BO239" i="89"/>
  <c r="I243" i="89"/>
  <c r="BO243" i="89"/>
  <c r="I247" i="89"/>
  <c r="BO247" i="89"/>
  <c r="I251" i="89"/>
  <c r="BO251" i="89"/>
  <c r="I255" i="89"/>
  <c r="BJ255" i="89" s="1"/>
  <c r="BO255" i="89"/>
  <c r="I259" i="89"/>
  <c r="BO259" i="89"/>
  <c r="I263" i="89"/>
  <c r="BO263" i="89"/>
  <c r="I267" i="89"/>
  <c r="BO267" i="89"/>
  <c r="I271" i="89"/>
  <c r="BJ271" i="89" s="1"/>
  <c r="BO271" i="89"/>
  <c r="I275" i="89"/>
  <c r="BO275" i="89"/>
  <c r="I279" i="89"/>
  <c r="BO279" i="89"/>
  <c r="I283" i="89"/>
  <c r="BO283" i="89"/>
  <c r="I287" i="89"/>
  <c r="BJ287" i="89" s="1"/>
  <c r="BO287" i="89"/>
  <c r="I291" i="89"/>
  <c r="BO291" i="89"/>
  <c r="I295" i="89"/>
  <c r="BO295" i="89"/>
  <c r="I299" i="89"/>
  <c r="BO299" i="89"/>
  <c r="I303" i="89"/>
  <c r="BJ303" i="89" s="1"/>
  <c r="BO303" i="89"/>
  <c r="I307" i="89"/>
  <c r="BO307" i="89"/>
  <c r="I311" i="89"/>
  <c r="BO311" i="89"/>
  <c r="I315" i="89"/>
  <c r="BO315" i="89"/>
  <c r="I319" i="89"/>
  <c r="BJ319" i="89" s="1"/>
  <c r="BO319" i="89"/>
  <c r="I323" i="89"/>
  <c r="BO323" i="89"/>
  <c r="I327" i="89"/>
  <c r="BO327" i="89"/>
  <c r="I331" i="89"/>
  <c r="BO331" i="89"/>
  <c r="I335" i="89"/>
  <c r="BJ335" i="89" s="1"/>
  <c r="BO335" i="89"/>
  <c r="I339" i="89"/>
  <c r="BO339" i="89"/>
  <c r="I343" i="89"/>
  <c r="BO343" i="89"/>
  <c r="I347" i="89"/>
  <c r="BO347" i="89"/>
  <c r="I351" i="89"/>
  <c r="BJ351" i="89" s="1"/>
  <c r="BO351" i="89"/>
  <c r="I355" i="89"/>
  <c r="BO355" i="89"/>
  <c r="I359" i="89"/>
  <c r="BO359" i="89"/>
  <c r="I363" i="89"/>
  <c r="BO363" i="89"/>
  <c r="I367" i="89"/>
  <c r="BJ367" i="89" s="1"/>
  <c r="BO367" i="89"/>
  <c r="I371" i="89"/>
  <c r="BO371" i="89"/>
  <c r="I375" i="89"/>
  <c r="BO375" i="89"/>
  <c r="I379" i="89"/>
  <c r="BO379" i="89"/>
  <c r="I383" i="89"/>
  <c r="BJ383" i="89" s="1"/>
  <c r="BO383" i="89"/>
  <c r="I387" i="89"/>
  <c r="BO387" i="89"/>
  <c r="I391" i="89"/>
  <c r="BO391" i="89"/>
  <c r="I395" i="89"/>
  <c r="BO395" i="89"/>
  <c r="I399" i="89"/>
  <c r="BJ399" i="89" s="1"/>
  <c r="BO399" i="89"/>
  <c r="I403" i="89"/>
  <c r="BO403" i="89"/>
  <c r="I407" i="89"/>
  <c r="BO407" i="89"/>
  <c r="I411" i="89"/>
  <c r="BO411" i="89"/>
  <c r="I415" i="89"/>
  <c r="BJ415" i="89" s="1"/>
  <c r="BO415" i="89"/>
  <c r="I419" i="89"/>
  <c r="BO419" i="89"/>
  <c r="I423" i="89"/>
  <c r="BO423" i="89"/>
  <c r="I427" i="89"/>
  <c r="BO427" i="89"/>
  <c r="I431" i="89"/>
  <c r="BJ431" i="89" s="1"/>
  <c r="BO431" i="89"/>
  <c r="I435" i="89"/>
  <c r="BO435" i="89"/>
  <c r="I439" i="89"/>
  <c r="BO439" i="89"/>
  <c r="I443" i="89"/>
  <c r="BO443" i="89"/>
  <c r="I447" i="89"/>
  <c r="BJ447" i="89" s="1"/>
  <c r="BO447" i="89"/>
  <c r="I451" i="89"/>
  <c r="BO451" i="89"/>
  <c r="I455" i="89"/>
  <c r="BO455" i="89"/>
  <c r="I459" i="89"/>
  <c r="BO459" i="89"/>
  <c r="I463" i="89"/>
  <c r="BO463" i="89"/>
  <c r="I467" i="89"/>
  <c r="BO467" i="89"/>
  <c r="I471" i="89"/>
  <c r="BO471" i="89"/>
  <c r="I475" i="89"/>
  <c r="BO475" i="89"/>
  <c r="I479" i="89"/>
  <c r="BJ479" i="89" s="1"/>
  <c r="BO479" i="89"/>
  <c r="I483" i="89"/>
  <c r="BO483" i="89"/>
  <c r="I486" i="89"/>
  <c r="BO486" i="89"/>
  <c r="I490" i="89"/>
  <c r="BO490" i="89"/>
  <c r="I494" i="89"/>
  <c r="BJ494" i="89" s="1"/>
  <c r="BO494" i="89"/>
  <c r="I498" i="89"/>
  <c r="BO498" i="89"/>
  <c r="I502" i="89"/>
  <c r="BO502" i="89"/>
  <c r="I506" i="89"/>
  <c r="BO506" i="89"/>
  <c r="I510" i="89"/>
  <c r="BJ510" i="89" s="1"/>
  <c r="BO510" i="89"/>
  <c r="I514" i="89"/>
  <c r="BO514" i="89"/>
  <c r="I518" i="89"/>
  <c r="BO518" i="89"/>
  <c r="I522" i="89"/>
  <c r="BO522" i="89"/>
  <c r="I526" i="89"/>
  <c r="BJ526" i="89" s="1"/>
  <c r="BO526" i="89"/>
  <c r="I530" i="89"/>
  <c r="BO530" i="89"/>
  <c r="I534" i="89"/>
  <c r="BO534" i="89"/>
  <c r="I538" i="89"/>
  <c r="BO538" i="89"/>
  <c r="I542" i="89"/>
  <c r="BJ542" i="89" s="1"/>
  <c r="BO542" i="89"/>
  <c r="I546" i="89"/>
  <c r="BO546" i="89"/>
  <c r="I550" i="89"/>
  <c r="BO550" i="89"/>
  <c r="I554" i="89"/>
  <c r="BO554" i="89"/>
  <c r="I558" i="89"/>
  <c r="BJ558" i="89" s="1"/>
  <c r="BO558" i="89"/>
  <c r="I562" i="89"/>
  <c r="BO562" i="89"/>
  <c r="I566" i="89"/>
  <c r="BO566" i="89"/>
  <c r="I570" i="89"/>
  <c r="BO570" i="89"/>
  <c r="I574" i="89"/>
  <c r="BJ574" i="89" s="1"/>
  <c r="BO574" i="89"/>
  <c r="I578" i="89"/>
  <c r="BO578" i="89"/>
  <c r="I582" i="89"/>
  <c r="BO582" i="89"/>
  <c r="I586" i="89"/>
  <c r="BO586" i="89"/>
  <c r="I590" i="89"/>
  <c r="BJ590" i="89" s="1"/>
  <c r="BO590" i="89"/>
  <c r="I594" i="89"/>
  <c r="BO594" i="89"/>
  <c r="I598" i="89"/>
  <c r="BO598" i="89"/>
  <c r="I602" i="89"/>
  <c r="BO602" i="89"/>
  <c r="I606" i="89"/>
  <c r="BJ606" i="89" s="1"/>
  <c r="BO606" i="89"/>
  <c r="I610" i="89"/>
  <c r="BO610" i="89"/>
  <c r="I614" i="89"/>
  <c r="BO614" i="89"/>
  <c r="I618" i="89"/>
  <c r="BO618" i="89"/>
  <c r="I622" i="89"/>
  <c r="BJ622" i="89" s="1"/>
  <c r="BO622" i="89"/>
  <c r="I626" i="89"/>
  <c r="BO626" i="89"/>
  <c r="I630" i="89"/>
  <c r="BO630" i="89"/>
  <c r="I634" i="89"/>
  <c r="BO634" i="89"/>
  <c r="I638" i="89"/>
  <c r="BJ638" i="89" s="1"/>
  <c r="BO638" i="89"/>
  <c r="I642" i="89"/>
  <c r="BO642" i="89"/>
  <c r="I646" i="89"/>
  <c r="BO646" i="89"/>
  <c r="I650" i="89"/>
  <c r="BO650" i="89"/>
  <c r="I654" i="89"/>
  <c r="BJ654" i="89" s="1"/>
  <c r="BO654" i="89"/>
  <c r="I658" i="89"/>
  <c r="BO658" i="89"/>
  <c r="I662" i="89"/>
  <c r="BO662" i="89"/>
  <c r="I666" i="89"/>
  <c r="BO666" i="89"/>
  <c r="I670" i="89"/>
  <c r="BJ670" i="89" s="1"/>
  <c r="BO670" i="89"/>
  <c r="I674" i="89"/>
  <c r="BO674" i="89"/>
  <c r="I678" i="89"/>
  <c r="BO678" i="89"/>
  <c r="I682" i="89"/>
  <c r="BO682" i="89"/>
  <c r="I686" i="89"/>
  <c r="BJ686" i="89" s="1"/>
  <c r="BO686" i="89"/>
  <c r="I690" i="89"/>
  <c r="BO690" i="89"/>
  <c r="I694" i="89"/>
  <c r="BO694" i="89"/>
  <c r="I698" i="89"/>
  <c r="BO698" i="89"/>
  <c r="I702" i="89"/>
  <c r="BJ702" i="89" s="1"/>
  <c r="BO702" i="89"/>
  <c r="I706" i="89"/>
  <c r="BO706" i="89"/>
  <c r="I710" i="89"/>
  <c r="BO710" i="89"/>
  <c r="I714" i="89"/>
  <c r="BO714" i="89"/>
  <c r="I718" i="89"/>
  <c r="BJ718" i="89" s="1"/>
  <c r="BO718" i="89"/>
  <c r="I722" i="89"/>
  <c r="BO722" i="89"/>
  <c r="I726" i="89"/>
  <c r="BO726" i="89"/>
  <c r="I730" i="89"/>
  <c r="BO730" i="89"/>
  <c r="I734" i="89"/>
  <c r="BJ734" i="89" s="1"/>
  <c r="BO734" i="89"/>
  <c r="I738" i="89"/>
  <c r="BO738" i="89"/>
  <c r="I742" i="89"/>
  <c r="BO742" i="89"/>
  <c r="I746" i="89"/>
  <c r="BO746" i="89"/>
  <c r="I750" i="89"/>
  <c r="BJ750" i="89" s="1"/>
  <c r="BO750" i="89"/>
  <c r="I754" i="89"/>
  <c r="BO754" i="89"/>
  <c r="I758" i="89"/>
  <c r="BO758" i="89"/>
  <c r="I762" i="89"/>
  <c r="BO762" i="89"/>
  <c r="I766" i="89"/>
  <c r="BJ766" i="89" s="1"/>
  <c r="BO766" i="89"/>
  <c r="I770" i="89"/>
  <c r="BO770" i="89"/>
  <c r="I774" i="89"/>
  <c r="BO774" i="89"/>
  <c r="I778" i="89"/>
  <c r="BO778" i="89"/>
  <c r="I782" i="89"/>
  <c r="BJ782" i="89" s="1"/>
  <c r="BO782" i="89"/>
  <c r="I786" i="89"/>
  <c r="BO786" i="89"/>
  <c r="I790" i="89"/>
  <c r="BO790" i="89"/>
  <c r="I794" i="89"/>
  <c r="BO794" i="89"/>
  <c r="I798" i="89"/>
  <c r="BJ798" i="89" s="1"/>
  <c r="BO798" i="89"/>
  <c r="I802" i="89"/>
  <c r="BO802" i="89"/>
  <c r="I806" i="89"/>
  <c r="BO806" i="89"/>
  <c r="I810" i="89"/>
  <c r="BO810" i="89"/>
  <c r="I814" i="89"/>
  <c r="BJ814" i="89" s="1"/>
  <c r="BO814" i="89"/>
  <c r="I818" i="89"/>
  <c r="BO818" i="89"/>
  <c r="I822" i="89"/>
  <c r="BO822" i="89"/>
  <c r="I826" i="89"/>
  <c r="BO826" i="89"/>
  <c r="I830" i="89"/>
  <c r="BJ830" i="89" s="1"/>
  <c r="BO830" i="89"/>
  <c r="I834" i="89"/>
  <c r="BO834" i="89"/>
  <c r="I838" i="89"/>
  <c r="BO838" i="89"/>
  <c r="I842" i="89"/>
  <c r="BO842" i="89"/>
  <c r="I846" i="89"/>
  <c r="BJ846" i="89" s="1"/>
  <c r="BO846" i="89"/>
  <c r="I850" i="89"/>
  <c r="BO850" i="89"/>
  <c r="I854" i="89"/>
  <c r="BO854" i="89"/>
  <c r="I858" i="89"/>
  <c r="BO858" i="89"/>
  <c r="I862" i="89"/>
  <c r="BJ862" i="89" s="1"/>
  <c r="BO862" i="89"/>
  <c r="I866" i="89"/>
  <c r="BO866" i="89"/>
  <c r="I870" i="89"/>
  <c r="BO870" i="89"/>
  <c r="I874" i="89"/>
  <c r="BO874" i="89"/>
  <c r="I878" i="89"/>
  <c r="BJ878" i="89" s="1"/>
  <c r="BO878" i="89"/>
  <c r="I882" i="89"/>
  <c r="BO882" i="89"/>
  <c r="I886" i="89"/>
  <c r="BO886" i="89"/>
  <c r="I890" i="89"/>
  <c r="BO890" i="89"/>
  <c r="I894" i="89"/>
  <c r="BJ894" i="89" s="1"/>
  <c r="BO894" i="89"/>
  <c r="I898" i="89"/>
  <c r="BO898" i="89"/>
  <c r="I902" i="89"/>
  <c r="BO902" i="89"/>
  <c r="I906" i="89"/>
  <c r="BO906" i="89"/>
  <c r="I910" i="89"/>
  <c r="BJ910" i="89" s="1"/>
  <c r="BO910" i="89"/>
  <c r="I914" i="89"/>
  <c r="BO914" i="89"/>
  <c r="I918" i="89"/>
  <c r="BO918" i="89"/>
  <c r="I922" i="89"/>
  <c r="BO922" i="89"/>
  <c r="I926" i="89"/>
  <c r="BJ926" i="89" s="1"/>
  <c r="BO926" i="89"/>
  <c r="I930" i="89"/>
  <c r="BO930" i="89"/>
  <c r="I934" i="89"/>
  <c r="BO934" i="89"/>
  <c r="I938" i="89"/>
  <c r="BO938" i="89"/>
  <c r="I942" i="89"/>
  <c r="BJ942" i="89" s="1"/>
  <c r="BO942" i="89"/>
  <c r="I946" i="89"/>
  <c r="BO946" i="89"/>
  <c r="I950" i="89"/>
  <c r="BO950" i="89"/>
  <c r="I954" i="89"/>
  <c r="BO954" i="89"/>
  <c r="I958" i="89"/>
  <c r="BJ958" i="89" s="1"/>
  <c r="BO958" i="89"/>
  <c r="I962" i="89"/>
  <c r="BO962" i="89"/>
  <c r="I966" i="89"/>
  <c r="BO966" i="89"/>
  <c r="I970" i="89"/>
  <c r="BO970" i="89"/>
  <c r="I974" i="89"/>
  <c r="BJ974" i="89" s="1"/>
  <c r="BO974" i="89"/>
  <c r="I978" i="89"/>
  <c r="BO978" i="89"/>
  <c r="I982" i="89"/>
  <c r="BO982" i="89"/>
  <c r="I986" i="89"/>
  <c r="BO986" i="89"/>
  <c r="I990" i="89"/>
  <c r="BJ990" i="89" s="1"/>
  <c r="BO990" i="89"/>
  <c r="I994" i="89"/>
  <c r="BO994" i="89"/>
  <c r="I998" i="89"/>
  <c r="BO998" i="89"/>
  <c r="I1002" i="89"/>
  <c r="BO1002" i="89"/>
  <c r="I1006" i="89"/>
  <c r="BJ1006" i="89" s="1"/>
  <c r="BO1006" i="89"/>
  <c r="I1010" i="89"/>
  <c r="BO1010" i="89"/>
  <c r="I1014" i="89"/>
  <c r="BO1014" i="89"/>
  <c r="I1018" i="89"/>
  <c r="BO1018" i="89"/>
  <c r="I1022" i="89"/>
  <c r="BJ1022" i="89" s="1"/>
  <c r="BO1022" i="89"/>
  <c r="I1026" i="89"/>
  <c r="BO1026" i="89"/>
  <c r="I1030" i="89"/>
  <c r="BO1030" i="89"/>
  <c r="I1034" i="89"/>
  <c r="BO1034" i="89"/>
  <c r="I1038" i="89"/>
  <c r="BJ1038" i="89" s="1"/>
  <c r="BO1038" i="89"/>
  <c r="I1042" i="89"/>
  <c r="BO1042" i="89"/>
  <c r="I1046" i="89"/>
  <c r="BO1046" i="89"/>
  <c r="I1050" i="89"/>
  <c r="BO1050" i="89"/>
  <c r="I1054" i="89"/>
  <c r="BJ1054" i="89" s="1"/>
  <c r="BO1054" i="89"/>
  <c r="I1058" i="89"/>
  <c r="BO1058" i="89"/>
  <c r="I1062" i="89"/>
  <c r="BO1062" i="89"/>
  <c r="I1066" i="89"/>
  <c r="BO1066" i="89"/>
  <c r="I1070" i="89"/>
  <c r="BJ1070" i="89" s="1"/>
  <c r="BO1070" i="89"/>
  <c r="I1074" i="89"/>
  <c r="BO1074" i="89"/>
  <c r="I1078" i="89"/>
  <c r="BO1078" i="89"/>
  <c r="I1082" i="89"/>
  <c r="BO1082" i="89"/>
  <c r="I1086" i="89"/>
  <c r="BJ1086" i="89" s="1"/>
  <c r="BO1086" i="89"/>
  <c r="I1090" i="89"/>
  <c r="BO1090" i="89"/>
  <c r="I1094" i="89"/>
  <c r="BO1094" i="89"/>
  <c r="I1098" i="89"/>
  <c r="BO1098" i="89"/>
  <c r="I1102" i="89"/>
  <c r="BJ1102" i="89" s="1"/>
  <c r="BO1102" i="89"/>
  <c r="I1106" i="89"/>
  <c r="BO1106" i="89"/>
  <c r="I1110" i="89"/>
  <c r="BO1110" i="89"/>
  <c r="I1114" i="89"/>
  <c r="BO1114" i="89"/>
  <c r="I1118" i="89"/>
  <c r="BJ1118" i="89" s="1"/>
  <c r="BO1118" i="89"/>
  <c r="I1122" i="89"/>
  <c r="BO1122" i="89"/>
  <c r="I1126" i="89"/>
  <c r="BO1126" i="89"/>
  <c r="I1130" i="89"/>
  <c r="BO1130" i="89"/>
  <c r="I1134" i="89"/>
  <c r="BJ1134" i="89" s="1"/>
  <c r="BO1134" i="89"/>
  <c r="I1138" i="89"/>
  <c r="BO1138" i="89"/>
  <c r="I1142" i="89"/>
  <c r="BO1142" i="89"/>
  <c r="I1146" i="89"/>
  <c r="BO1146" i="89"/>
  <c r="I1150" i="89"/>
  <c r="BJ1150" i="89" s="1"/>
  <c r="BO1150" i="89"/>
  <c r="I1154" i="89"/>
  <c r="BO1154" i="89"/>
  <c r="I1158" i="89"/>
  <c r="BO1158" i="89"/>
  <c r="I1162" i="89"/>
  <c r="BO1162" i="89"/>
  <c r="I1166" i="89"/>
  <c r="BJ1166" i="89" s="1"/>
  <c r="BO1166" i="89"/>
  <c r="I1170" i="89"/>
  <c r="BO1170" i="89"/>
  <c r="I1174" i="89"/>
  <c r="BO1174" i="89"/>
  <c r="I1178" i="89"/>
  <c r="BO1178" i="89"/>
  <c r="I1182" i="89"/>
  <c r="BJ1182" i="89" s="1"/>
  <c r="BO1182" i="89"/>
  <c r="I1186" i="89"/>
  <c r="BO1186" i="89"/>
  <c r="I1190" i="89"/>
  <c r="BO1190" i="89"/>
  <c r="I1194" i="89"/>
  <c r="BO1194" i="89"/>
  <c r="I1198" i="89"/>
  <c r="BJ1198" i="89" s="1"/>
  <c r="BO1198" i="89"/>
  <c r="I1202" i="89"/>
  <c r="BO1202" i="89"/>
  <c r="I1206" i="89"/>
  <c r="BO1206" i="89"/>
  <c r="I1210" i="89"/>
  <c r="BO1210" i="89"/>
  <c r="I1214" i="89"/>
  <c r="BJ1214" i="89" s="1"/>
  <c r="BO1214" i="89"/>
  <c r="I1218" i="89"/>
  <c r="BO1218" i="89"/>
  <c r="I1222" i="89"/>
  <c r="BO1222" i="89"/>
  <c r="I1226" i="89"/>
  <c r="BO1226" i="89"/>
  <c r="I1230" i="89"/>
  <c r="BJ1230" i="89" s="1"/>
  <c r="BO1230" i="89"/>
  <c r="I1234" i="89"/>
  <c r="BO1234" i="89"/>
  <c r="I1238" i="89"/>
  <c r="BO1238" i="89"/>
  <c r="I1242" i="89"/>
  <c r="BO1242" i="89"/>
  <c r="I1246" i="89"/>
  <c r="BJ1246" i="89" s="1"/>
  <c r="BO1246" i="89"/>
  <c r="I1250" i="89"/>
  <c r="BO1250" i="89"/>
  <c r="I1254" i="89"/>
  <c r="BO1254" i="89"/>
  <c r="I1258" i="89"/>
  <c r="BO1258" i="89"/>
  <c r="I1262" i="89"/>
  <c r="BJ1262" i="89" s="1"/>
  <c r="BO1262" i="89"/>
  <c r="I1266" i="89"/>
  <c r="BO1266" i="89"/>
  <c r="I1270" i="89"/>
  <c r="BO1270" i="89"/>
  <c r="I1274" i="89"/>
  <c r="BO1274" i="89"/>
  <c r="I1278" i="89"/>
  <c r="BJ1278" i="89" s="1"/>
  <c r="BO1278" i="89"/>
  <c r="I1282" i="89"/>
  <c r="BO1282" i="89"/>
  <c r="I1286" i="89"/>
  <c r="BO1286" i="89"/>
  <c r="I1290" i="89"/>
  <c r="BO1290" i="89"/>
  <c r="I1294" i="89"/>
  <c r="BJ1294" i="89" s="1"/>
  <c r="BO1294" i="89"/>
  <c r="I1298" i="89"/>
  <c r="BO1298" i="89"/>
  <c r="I1302" i="89"/>
  <c r="BO1302" i="89"/>
  <c r="I1306" i="89"/>
  <c r="BO1306" i="89"/>
  <c r="I1310" i="89"/>
  <c r="BJ1310" i="89" s="1"/>
  <c r="BO1310" i="89"/>
  <c r="I1314" i="89"/>
  <c r="BO1314" i="89"/>
  <c r="I1318" i="89"/>
  <c r="BO1318" i="89"/>
  <c r="I1322" i="89"/>
  <c r="BO1322" i="89"/>
  <c r="I1326" i="89"/>
  <c r="BJ1326" i="89" s="1"/>
  <c r="BO1326" i="89"/>
  <c r="I1330" i="89"/>
  <c r="BO1330" i="89"/>
  <c r="I1334" i="89"/>
  <c r="BO1334" i="89"/>
  <c r="I1338" i="89"/>
  <c r="BO1338" i="89"/>
  <c r="I1342" i="89"/>
  <c r="BJ1342" i="89" s="1"/>
  <c r="BO1342" i="89"/>
  <c r="I1346" i="89"/>
  <c r="BO1346" i="89"/>
  <c r="I1350" i="89"/>
  <c r="BO1350" i="89"/>
  <c r="I1354" i="89"/>
  <c r="BO1354" i="89"/>
  <c r="I1358" i="89"/>
  <c r="BJ1358" i="89" s="1"/>
  <c r="BO1358" i="89"/>
  <c r="I1362" i="89"/>
  <c r="BO1362" i="89"/>
  <c r="I1366" i="89"/>
  <c r="BO1366" i="89"/>
  <c r="I1370" i="89"/>
  <c r="BO1370" i="89"/>
  <c r="I1374" i="89"/>
  <c r="BJ1374" i="89" s="1"/>
  <c r="BO1374" i="89"/>
  <c r="I1378" i="89"/>
  <c r="BO1378" i="89"/>
  <c r="I1382" i="89"/>
  <c r="BJ1382" i="89" s="1"/>
  <c r="BO1382" i="89"/>
  <c r="I1386" i="89"/>
  <c r="BO1386" i="89"/>
  <c r="I1390" i="89"/>
  <c r="BJ1390" i="89" s="1"/>
  <c r="BO1390" i="89"/>
  <c r="I1394" i="89"/>
  <c r="BO1394" i="89"/>
  <c r="I1398" i="89"/>
  <c r="BO1398" i="89"/>
  <c r="I1402" i="89"/>
  <c r="BO1402" i="89"/>
  <c r="I1406" i="89"/>
  <c r="BJ1406" i="89" s="1"/>
  <c r="BO1406" i="89"/>
  <c r="I1410" i="89"/>
  <c r="BO1410" i="89"/>
  <c r="I1414" i="89"/>
  <c r="BO1414" i="89"/>
  <c r="I1418" i="89"/>
  <c r="BO1418" i="89"/>
  <c r="I1422" i="89"/>
  <c r="BJ1422" i="89" s="1"/>
  <c r="BO1422" i="89"/>
  <c r="I1426" i="89"/>
  <c r="BO1426" i="89"/>
  <c r="I1430" i="89"/>
  <c r="BO1430" i="89"/>
  <c r="I1434" i="89"/>
  <c r="BO1434" i="89"/>
  <c r="I1438" i="89"/>
  <c r="BJ1438" i="89" s="1"/>
  <c r="BO1438" i="89"/>
  <c r="I1442" i="89"/>
  <c r="BO1442" i="89"/>
  <c r="I1446" i="89"/>
  <c r="BO1446" i="89"/>
  <c r="I1450" i="89"/>
  <c r="BO1450" i="89"/>
  <c r="I1454" i="89"/>
  <c r="BJ1454" i="89" s="1"/>
  <c r="BO1454" i="89"/>
  <c r="I1458" i="89"/>
  <c r="BO1458" i="89"/>
  <c r="I1462" i="89"/>
  <c r="BO1462" i="89"/>
  <c r="I1466" i="89"/>
  <c r="BO1466" i="89"/>
  <c r="I1470" i="89"/>
  <c r="BJ1470" i="89" s="1"/>
  <c r="BO1470" i="89"/>
  <c r="I1474" i="89"/>
  <c r="BO1474" i="89"/>
  <c r="I1478" i="89"/>
  <c r="BO1478" i="89"/>
  <c r="I1482" i="89"/>
  <c r="BO1482" i="89"/>
  <c r="I1486" i="89"/>
  <c r="BJ1486" i="89" s="1"/>
  <c r="BO1486" i="89"/>
  <c r="I1490" i="89"/>
  <c r="BO1490" i="89"/>
  <c r="I1494" i="89"/>
  <c r="BO1494" i="89"/>
  <c r="I49" i="89"/>
  <c r="BO49" i="89"/>
  <c r="I45" i="89"/>
  <c r="BJ45" i="89" s="1"/>
  <c r="BO45" i="89"/>
  <c r="I485" i="89"/>
  <c r="BO485" i="89"/>
  <c r="I489" i="89"/>
  <c r="BO489" i="89"/>
  <c r="I493" i="89"/>
  <c r="BO493" i="89"/>
  <c r="I497" i="89"/>
  <c r="BJ497" i="89" s="1"/>
  <c r="BO497" i="89"/>
  <c r="I501" i="89"/>
  <c r="BO501" i="89"/>
  <c r="I505" i="89"/>
  <c r="BO505" i="89"/>
  <c r="I509" i="89"/>
  <c r="BO509" i="89"/>
  <c r="I513" i="89"/>
  <c r="BJ513" i="89" s="1"/>
  <c r="BO513" i="89"/>
  <c r="I517" i="89"/>
  <c r="BO517" i="89"/>
  <c r="I521" i="89"/>
  <c r="BJ521" i="89" s="1"/>
  <c r="BO521" i="89"/>
  <c r="I525" i="89"/>
  <c r="BO525" i="89"/>
  <c r="I529" i="89"/>
  <c r="BJ529" i="89" s="1"/>
  <c r="BO529" i="89"/>
  <c r="I533" i="89"/>
  <c r="BO533" i="89"/>
  <c r="I537" i="89"/>
  <c r="BO537" i="89"/>
  <c r="I541" i="89"/>
  <c r="BO541" i="89"/>
  <c r="I545" i="89"/>
  <c r="BJ545" i="89" s="1"/>
  <c r="BO545" i="89"/>
  <c r="I549" i="89"/>
  <c r="BO549" i="89"/>
  <c r="I553" i="89"/>
  <c r="BO553" i="89"/>
  <c r="I557" i="89"/>
  <c r="BO557" i="89"/>
  <c r="I561" i="89"/>
  <c r="BJ561" i="89" s="1"/>
  <c r="BO561" i="89"/>
  <c r="I565" i="89"/>
  <c r="BO565" i="89"/>
  <c r="I569" i="89"/>
  <c r="BO569" i="89"/>
  <c r="I573" i="89"/>
  <c r="BO573" i="89"/>
  <c r="I577" i="89"/>
  <c r="BJ577" i="89" s="1"/>
  <c r="BO577" i="89"/>
  <c r="I581" i="89"/>
  <c r="BO581" i="89"/>
  <c r="I585" i="89"/>
  <c r="BO585" i="89"/>
  <c r="I589" i="89"/>
  <c r="BO589" i="89"/>
  <c r="I593" i="89"/>
  <c r="BO593" i="89"/>
  <c r="I597" i="89"/>
  <c r="BO597" i="89"/>
  <c r="I601" i="89"/>
  <c r="BO601" i="89"/>
  <c r="I605" i="89"/>
  <c r="BO605" i="89"/>
  <c r="I609" i="89"/>
  <c r="BJ609" i="89" s="1"/>
  <c r="BO609" i="89"/>
  <c r="I613" i="89"/>
  <c r="BO613" i="89"/>
  <c r="I617" i="89"/>
  <c r="BO617" i="89"/>
  <c r="I621" i="89"/>
  <c r="BO621" i="89"/>
  <c r="I625" i="89"/>
  <c r="BJ625" i="89" s="1"/>
  <c r="BO625" i="89"/>
  <c r="I629" i="89"/>
  <c r="BO629" i="89"/>
  <c r="I633" i="89"/>
  <c r="BO633" i="89"/>
  <c r="I637" i="89"/>
  <c r="BO637" i="89"/>
  <c r="I641" i="89"/>
  <c r="BJ641" i="89" s="1"/>
  <c r="BO641" i="89"/>
  <c r="I645" i="89"/>
  <c r="BO645" i="89"/>
  <c r="I649" i="89"/>
  <c r="BO649" i="89"/>
  <c r="I653" i="89"/>
  <c r="BO653" i="89"/>
  <c r="I657" i="89"/>
  <c r="BJ657" i="89" s="1"/>
  <c r="BO657" i="89"/>
  <c r="I661" i="89"/>
  <c r="BO661" i="89"/>
  <c r="I665" i="89"/>
  <c r="BO665" i="89"/>
  <c r="I669" i="89"/>
  <c r="BO669" i="89"/>
  <c r="I673" i="89"/>
  <c r="BJ673" i="89" s="1"/>
  <c r="BO673" i="89"/>
  <c r="I677" i="89"/>
  <c r="BO677" i="89"/>
  <c r="I681" i="89"/>
  <c r="BO681" i="89"/>
  <c r="I685" i="89"/>
  <c r="BO685" i="89"/>
  <c r="I689" i="89"/>
  <c r="BJ689" i="89" s="1"/>
  <c r="BO689" i="89"/>
  <c r="I693" i="89"/>
  <c r="BO693" i="89"/>
  <c r="I697" i="89"/>
  <c r="BO697" i="89"/>
  <c r="I701" i="89"/>
  <c r="BO701" i="89"/>
  <c r="I705" i="89"/>
  <c r="BJ705" i="89" s="1"/>
  <c r="BO705" i="89"/>
  <c r="I709" i="89"/>
  <c r="BO709" i="89"/>
  <c r="I713" i="89"/>
  <c r="BO713" i="89"/>
  <c r="I717" i="89"/>
  <c r="BO717" i="89"/>
  <c r="I721" i="89"/>
  <c r="BJ721" i="89" s="1"/>
  <c r="BO721" i="89"/>
  <c r="I725" i="89"/>
  <c r="BO725" i="89"/>
  <c r="I729" i="89"/>
  <c r="BO729" i="89"/>
  <c r="I733" i="89"/>
  <c r="BO733" i="89"/>
  <c r="I737" i="89"/>
  <c r="BJ737" i="89" s="1"/>
  <c r="BO737" i="89"/>
  <c r="I741" i="89"/>
  <c r="BO741" i="89"/>
  <c r="I745" i="89"/>
  <c r="BO745" i="89"/>
  <c r="I749" i="89"/>
  <c r="BO749" i="89"/>
  <c r="I753" i="89"/>
  <c r="BJ753" i="89" s="1"/>
  <c r="BO753" i="89"/>
  <c r="I757" i="89"/>
  <c r="BO757" i="89"/>
  <c r="I761" i="89"/>
  <c r="BO761" i="89"/>
  <c r="I765" i="89"/>
  <c r="BO765" i="89"/>
  <c r="I769" i="89"/>
  <c r="BJ769" i="89" s="1"/>
  <c r="BO769" i="89"/>
  <c r="I773" i="89"/>
  <c r="BO773" i="89"/>
  <c r="I777" i="89"/>
  <c r="BO777" i="89"/>
  <c r="I781" i="89"/>
  <c r="BO781" i="89"/>
  <c r="I785" i="89"/>
  <c r="BJ785" i="89" s="1"/>
  <c r="BO785" i="89"/>
  <c r="I789" i="89"/>
  <c r="BO789" i="89"/>
  <c r="I793" i="89"/>
  <c r="BO793" i="89"/>
  <c r="I797" i="89"/>
  <c r="BO797" i="89"/>
  <c r="I801" i="89"/>
  <c r="BJ801" i="89" s="1"/>
  <c r="BO801" i="89"/>
  <c r="I805" i="89"/>
  <c r="BO805" i="89"/>
  <c r="I809" i="89"/>
  <c r="BO809" i="89"/>
  <c r="I813" i="89"/>
  <c r="BO813" i="89"/>
  <c r="I817" i="89"/>
  <c r="BJ817" i="89" s="1"/>
  <c r="BO817" i="89"/>
  <c r="I821" i="89"/>
  <c r="BO821" i="89"/>
  <c r="I825" i="89"/>
  <c r="BO825" i="89"/>
  <c r="I829" i="89"/>
  <c r="BO829" i="89"/>
  <c r="I833" i="89"/>
  <c r="BJ833" i="89" s="1"/>
  <c r="BO833" i="89"/>
  <c r="I837" i="89"/>
  <c r="BO837" i="89"/>
  <c r="I841" i="89"/>
  <c r="BO841" i="89"/>
  <c r="I845" i="89"/>
  <c r="BO845" i="89"/>
  <c r="I849" i="89"/>
  <c r="BJ849" i="89" s="1"/>
  <c r="BO849" i="89"/>
  <c r="I853" i="89"/>
  <c r="BO853" i="89"/>
  <c r="I857" i="89"/>
  <c r="BO857" i="89"/>
  <c r="I861" i="89"/>
  <c r="BO861" i="89"/>
  <c r="I865" i="89"/>
  <c r="BJ865" i="89" s="1"/>
  <c r="BO865" i="89"/>
  <c r="I869" i="89"/>
  <c r="BO869" i="89"/>
  <c r="I873" i="89"/>
  <c r="BO873" i="89"/>
  <c r="I877" i="89"/>
  <c r="BO877" i="89"/>
  <c r="I881" i="89"/>
  <c r="BJ881" i="89" s="1"/>
  <c r="BO881" i="89"/>
  <c r="I885" i="89"/>
  <c r="BO885" i="89"/>
  <c r="I889" i="89"/>
  <c r="BO889" i="89"/>
  <c r="I893" i="89"/>
  <c r="BO893" i="89"/>
  <c r="I897" i="89"/>
  <c r="BJ897" i="89" s="1"/>
  <c r="BO897" i="89"/>
  <c r="I901" i="89"/>
  <c r="BO901" i="89"/>
  <c r="I905" i="89"/>
  <c r="BO905" i="89"/>
  <c r="I909" i="89"/>
  <c r="BO909" i="89"/>
  <c r="I913" i="89"/>
  <c r="BJ913" i="89" s="1"/>
  <c r="BO913" i="89"/>
  <c r="I917" i="89"/>
  <c r="BO917" i="89"/>
  <c r="I921" i="89"/>
  <c r="BO921" i="89"/>
  <c r="I925" i="89"/>
  <c r="BO925" i="89"/>
  <c r="I929" i="89"/>
  <c r="BJ929" i="89" s="1"/>
  <c r="BO929" i="89"/>
  <c r="I933" i="89"/>
  <c r="BO933" i="89"/>
  <c r="I937" i="89"/>
  <c r="BO937" i="89"/>
  <c r="I941" i="89"/>
  <c r="BO941" i="89"/>
  <c r="I945" i="89"/>
  <c r="BJ945" i="89" s="1"/>
  <c r="BO945" i="89"/>
  <c r="I949" i="89"/>
  <c r="BO949" i="89"/>
  <c r="I953" i="89"/>
  <c r="BO953" i="89"/>
  <c r="I957" i="89"/>
  <c r="BO957" i="89"/>
  <c r="I961" i="89"/>
  <c r="BJ961" i="89" s="1"/>
  <c r="BO961" i="89"/>
  <c r="I965" i="89"/>
  <c r="BO965" i="89"/>
  <c r="I969" i="89"/>
  <c r="BO969" i="89"/>
  <c r="I973" i="89"/>
  <c r="BO973" i="89"/>
  <c r="I977" i="89"/>
  <c r="BJ977" i="89" s="1"/>
  <c r="BO977" i="89"/>
  <c r="I981" i="89"/>
  <c r="BO981" i="89"/>
  <c r="I985" i="89"/>
  <c r="BO985" i="89"/>
  <c r="I989" i="89"/>
  <c r="BO989" i="89"/>
  <c r="I993" i="89"/>
  <c r="BJ993" i="89" s="1"/>
  <c r="BO993" i="89"/>
  <c r="I997" i="89"/>
  <c r="BO997" i="89"/>
  <c r="I1001" i="89"/>
  <c r="BO1001" i="89"/>
  <c r="I1005" i="89"/>
  <c r="BO1005" i="89"/>
  <c r="I1009" i="89"/>
  <c r="BJ1009" i="89" s="1"/>
  <c r="BO1009" i="89"/>
  <c r="I1013" i="89"/>
  <c r="BO1013" i="89"/>
  <c r="I1017" i="89"/>
  <c r="BO1017" i="89"/>
  <c r="I1021" i="89"/>
  <c r="BO1021" i="89"/>
  <c r="I1025" i="89"/>
  <c r="BJ1025" i="89" s="1"/>
  <c r="BO1025" i="89"/>
  <c r="I1029" i="89"/>
  <c r="BO1029" i="89"/>
  <c r="I1033" i="89"/>
  <c r="BO1033" i="89"/>
  <c r="I1037" i="89"/>
  <c r="BO1037" i="89"/>
  <c r="I1041" i="89"/>
  <c r="BJ1041" i="89" s="1"/>
  <c r="BO1041" i="89"/>
  <c r="I1045" i="89"/>
  <c r="BO1045" i="89"/>
  <c r="I1049" i="89"/>
  <c r="BO1049" i="89"/>
  <c r="I1053" i="89"/>
  <c r="BO1053" i="89"/>
  <c r="I1057" i="89"/>
  <c r="BJ1057" i="89" s="1"/>
  <c r="BO1057" i="89"/>
  <c r="I1061" i="89"/>
  <c r="BO1061" i="89"/>
  <c r="I1065" i="89"/>
  <c r="BO1065" i="89"/>
  <c r="I1069" i="89"/>
  <c r="BO1069" i="89"/>
  <c r="I1073" i="89"/>
  <c r="BJ1073" i="89" s="1"/>
  <c r="BO1073" i="89"/>
  <c r="I1077" i="89"/>
  <c r="BO1077" i="89"/>
  <c r="I1081" i="89"/>
  <c r="BO1081" i="89"/>
  <c r="I1085" i="89"/>
  <c r="BO1085" i="89"/>
  <c r="I1089" i="89"/>
  <c r="BJ1089" i="89" s="1"/>
  <c r="BO1089" i="89"/>
  <c r="I1093" i="89"/>
  <c r="BO1093" i="89"/>
  <c r="I1097" i="89"/>
  <c r="BO1097" i="89"/>
  <c r="I1101" i="89"/>
  <c r="BO1101" i="89"/>
  <c r="I1105" i="89"/>
  <c r="BJ1105" i="89" s="1"/>
  <c r="BO1105" i="89"/>
  <c r="I1109" i="89"/>
  <c r="BO1109" i="89"/>
  <c r="I1113" i="89"/>
  <c r="BO1113" i="89"/>
  <c r="I1117" i="89"/>
  <c r="BO1117" i="89"/>
  <c r="I1121" i="89"/>
  <c r="BJ1121" i="89" s="1"/>
  <c r="BO1121" i="89"/>
  <c r="I1125" i="89"/>
  <c r="BO1125" i="89"/>
  <c r="I1129" i="89"/>
  <c r="BO1129" i="89"/>
  <c r="I1133" i="89"/>
  <c r="BO1133" i="89"/>
  <c r="I1137" i="89"/>
  <c r="BJ1137" i="89" s="1"/>
  <c r="BO1137" i="89"/>
  <c r="I1141" i="89"/>
  <c r="BO1141" i="89"/>
  <c r="I1145" i="89"/>
  <c r="BO1145" i="89"/>
  <c r="I1149" i="89"/>
  <c r="BO1149" i="89"/>
  <c r="I1153" i="89"/>
  <c r="BJ1153" i="89" s="1"/>
  <c r="BO1153" i="89"/>
  <c r="I1157" i="89"/>
  <c r="BO1157" i="89"/>
  <c r="I1161" i="89"/>
  <c r="BO1161" i="89"/>
  <c r="I1165" i="89"/>
  <c r="BO1165" i="89"/>
  <c r="I1169" i="89"/>
  <c r="BJ1169" i="89" s="1"/>
  <c r="BO1169" i="89"/>
  <c r="I1173" i="89"/>
  <c r="BO1173" i="89"/>
  <c r="I1177" i="89"/>
  <c r="BO1177" i="89"/>
  <c r="I1181" i="89"/>
  <c r="BO1181" i="89"/>
  <c r="I1185" i="89"/>
  <c r="BJ1185" i="89" s="1"/>
  <c r="BO1185" i="89"/>
  <c r="I1189" i="89"/>
  <c r="BO1189" i="89"/>
  <c r="I1193" i="89"/>
  <c r="BO1193" i="89"/>
  <c r="I1197" i="89"/>
  <c r="BO1197" i="89"/>
  <c r="I1201" i="89"/>
  <c r="BJ1201" i="89" s="1"/>
  <c r="BO1201" i="89"/>
  <c r="I1205" i="89"/>
  <c r="BO1205" i="89"/>
  <c r="I1209" i="89"/>
  <c r="BO1209" i="89"/>
  <c r="I1213" i="89"/>
  <c r="BO1213" i="89"/>
  <c r="I1217" i="89"/>
  <c r="BJ1217" i="89" s="1"/>
  <c r="BO1217" i="89"/>
  <c r="I1221" i="89"/>
  <c r="BO1221" i="89"/>
  <c r="I1225" i="89"/>
  <c r="BO1225" i="89"/>
  <c r="I1229" i="89"/>
  <c r="BO1229" i="89"/>
  <c r="I1233" i="89"/>
  <c r="BJ1233" i="89" s="1"/>
  <c r="BO1233" i="89"/>
  <c r="I1237" i="89"/>
  <c r="BO1237" i="89"/>
  <c r="I1241" i="89"/>
  <c r="BO1241" i="89"/>
  <c r="I1245" i="89"/>
  <c r="BO1245" i="89"/>
  <c r="I1249" i="89"/>
  <c r="BJ1249" i="89" s="1"/>
  <c r="BO1249" i="89"/>
  <c r="I1253" i="89"/>
  <c r="BO1253" i="89"/>
  <c r="I1257" i="89"/>
  <c r="BO1257" i="89"/>
  <c r="I1261" i="89"/>
  <c r="BO1261" i="89"/>
  <c r="I1265" i="89"/>
  <c r="BJ1265" i="89" s="1"/>
  <c r="BO1265" i="89"/>
  <c r="I1269" i="89"/>
  <c r="BO1269" i="89"/>
  <c r="I1273" i="89"/>
  <c r="BO1273" i="89"/>
  <c r="I1277" i="89"/>
  <c r="BO1277" i="89"/>
  <c r="I1281" i="89"/>
  <c r="BJ1281" i="89" s="1"/>
  <c r="BO1281" i="89"/>
  <c r="I1285" i="89"/>
  <c r="BO1285" i="89"/>
  <c r="I1289" i="89"/>
  <c r="BO1289" i="89"/>
  <c r="I1293" i="89"/>
  <c r="BO1293" i="89"/>
  <c r="I1297" i="89"/>
  <c r="BJ1297" i="89" s="1"/>
  <c r="BO1297" i="89"/>
  <c r="I1301" i="89"/>
  <c r="BO1301" i="89"/>
  <c r="I1305" i="89"/>
  <c r="BO1305" i="89"/>
  <c r="I1309" i="89"/>
  <c r="BO1309" i="89"/>
  <c r="I1313" i="89"/>
  <c r="BJ1313" i="89" s="1"/>
  <c r="BO1313" i="89"/>
  <c r="I1317" i="89"/>
  <c r="BO1317" i="89"/>
  <c r="I1321" i="89"/>
  <c r="BO1321" i="89"/>
  <c r="I1325" i="89"/>
  <c r="BO1325" i="89"/>
  <c r="I1329" i="89"/>
  <c r="BJ1329" i="89" s="1"/>
  <c r="BO1329" i="89"/>
  <c r="I1333" i="89"/>
  <c r="BO1333" i="89"/>
  <c r="I1337" i="89"/>
  <c r="BO1337" i="89"/>
  <c r="I1341" i="89"/>
  <c r="BO1341" i="89"/>
  <c r="I1345" i="89"/>
  <c r="BJ1345" i="89" s="1"/>
  <c r="BO1345" i="89"/>
  <c r="I1349" i="89"/>
  <c r="BO1349" i="89"/>
  <c r="I1353" i="89"/>
  <c r="BO1353" i="89"/>
  <c r="I1357" i="89"/>
  <c r="BO1357" i="89"/>
  <c r="I1361" i="89"/>
  <c r="BJ1361" i="89" s="1"/>
  <c r="BO1361" i="89"/>
  <c r="I1365" i="89"/>
  <c r="BO1365" i="89"/>
  <c r="I1369" i="89"/>
  <c r="BO1369" i="89"/>
  <c r="I1373" i="89"/>
  <c r="BO1373" i="89"/>
  <c r="I1377" i="89"/>
  <c r="BJ1377" i="89" s="1"/>
  <c r="BO1377" i="89"/>
  <c r="I1381" i="89"/>
  <c r="BO1381" i="89"/>
  <c r="I1385" i="89"/>
  <c r="BO1385" i="89"/>
  <c r="I1389" i="89"/>
  <c r="BO1389" i="89"/>
  <c r="I1393" i="89"/>
  <c r="BJ1393" i="89" s="1"/>
  <c r="BO1393" i="89"/>
  <c r="I1397" i="89"/>
  <c r="BO1397" i="89"/>
  <c r="I1401" i="89"/>
  <c r="BO1401" i="89"/>
  <c r="I1405" i="89"/>
  <c r="BO1405" i="89"/>
  <c r="I1409" i="89"/>
  <c r="BJ1409" i="89" s="1"/>
  <c r="BO1409" i="89"/>
  <c r="I1413" i="89"/>
  <c r="BO1413" i="89"/>
  <c r="I1417" i="89"/>
  <c r="BO1417" i="89"/>
  <c r="I1421" i="89"/>
  <c r="BO1421" i="89"/>
  <c r="I1425" i="89"/>
  <c r="BJ1425" i="89" s="1"/>
  <c r="BO1425" i="89"/>
  <c r="I1429" i="89"/>
  <c r="BO1429" i="89"/>
  <c r="I1433" i="89"/>
  <c r="BO1433" i="89"/>
  <c r="I1437" i="89"/>
  <c r="BO1437" i="89"/>
  <c r="I1441" i="89"/>
  <c r="BJ1441" i="89" s="1"/>
  <c r="BO1441" i="89"/>
  <c r="I1445" i="89"/>
  <c r="BO1445" i="89"/>
  <c r="I1449" i="89"/>
  <c r="BO1449" i="89"/>
  <c r="I1453" i="89"/>
  <c r="BO1453" i="89"/>
  <c r="I1457" i="89"/>
  <c r="BJ1457" i="89" s="1"/>
  <c r="BO1457" i="89"/>
  <c r="I1461" i="89"/>
  <c r="BO1461" i="89"/>
  <c r="I1465" i="89"/>
  <c r="BO1465" i="89"/>
  <c r="I1469" i="89"/>
  <c r="BO1469" i="89"/>
  <c r="I1473" i="89"/>
  <c r="BJ1473" i="89" s="1"/>
  <c r="BO1473" i="89"/>
  <c r="I1477" i="89"/>
  <c r="BO1477" i="89"/>
  <c r="I1481" i="89"/>
  <c r="BO1481" i="89"/>
  <c r="I1485" i="89"/>
  <c r="BO1485" i="89"/>
  <c r="I1489" i="89"/>
  <c r="BJ1489" i="89" s="1"/>
  <c r="BO1489" i="89"/>
  <c r="I1493" i="89"/>
  <c r="BO1493" i="89"/>
  <c r="I50" i="89"/>
  <c r="BO50" i="89"/>
  <c r="I46" i="89"/>
  <c r="BO46" i="89"/>
  <c r="I484" i="89"/>
  <c r="BJ484" i="89" s="1"/>
  <c r="BO484" i="89"/>
  <c r="I488" i="89"/>
  <c r="BO488" i="89"/>
  <c r="I492" i="89"/>
  <c r="BO492" i="89"/>
  <c r="I496" i="89"/>
  <c r="BO496" i="89"/>
  <c r="I500" i="89"/>
  <c r="BJ500" i="89" s="1"/>
  <c r="BO500" i="89"/>
  <c r="I504" i="89"/>
  <c r="BO504" i="89"/>
  <c r="I508" i="89"/>
  <c r="BO508" i="89"/>
  <c r="I512" i="89"/>
  <c r="BO512" i="89"/>
  <c r="I516" i="89"/>
  <c r="BO516" i="89"/>
  <c r="I520" i="89"/>
  <c r="BO520" i="89"/>
  <c r="I524" i="89"/>
  <c r="BO524" i="89"/>
  <c r="I528" i="89"/>
  <c r="BO528" i="89"/>
  <c r="I532" i="89"/>
  <c r="BJ532" i="89" s="1"/>
  <c r="BO532" i="89"/>
  <c r="I536" i="89"/>
  <c r="BO536" i="89"/>
  <c r="I540" i="89"/>
  <c r="BO540" i="89"/>
  <c r="I544" i="89"/>
  <c r="BO544" i="89"/>
  <c r="I548" i="89"/>
  <c r="BO548" i="89"/>
  <c r="I552" i="89"/>
  <c r="BO552" i="89"/>
  <c r="I556" i="89"/>
  <c r="BO556" i="89"/>
  <c r="I560" i="89"/>
  <c r="BO560" i="89"/>
  <c r="I564" i="89"/>
  <c r="BJ564" i="89" s="1"/>
  <c r="BO564" i="89"/>
  <c r="I568" i="89"/>
  <c r="BO568" i="89"/>
  <c r="I572" i="89"/>
  <c r="BO572" i="89"/>
  <c r="I576" i="89"/>
  <c r="BO576" i="89"/>
  <c r="I580" i="89"/>
  <c r="BO580" i="89"/>
  <c r="I584" i="89"/>
  <c r="BO584" i="89"/>
  <c r="I588" i="89"/>
  <c r="BO588" i="89"/>
  <c r="I592" i="89"/>
  <c r="BO592" i="89"/>
  <c r="I596" i="89"/>
  <c r="BJ596" i="89" s="1"/>
  <c r="BO596" i="89"/>
  <c r="I600" i="89"/>
  <c r="BO600" i="89"/>
  <c r="I604" i="89"/>
  <c r="BO604" i="89"/>
  <c r="I608" i="89"/>
  <c r="BO608" i="89"/>
  <c r="I612" i="89"/>
  <c r="BJ612" i="89" s="1"/>
  <c r="BO612" i="89"/>
  <c r="I616" i="89"/>
  <c r="BO616" i="89"/>
  <c r="I620" i="89"/>
  <c r="BO620" i="89"/>
  <c r="I624" i="89"/>
  <c r="BO624" i="89"/>
  <c r="I628" i="89"/>
  <c r="BJ628" i="89" s="1"/>
  <c r="BO628" i="89"/>
  <c r="I632" i="89"/>
  <c r="BO632" i="89"/>
  <c r="I636" i="89"/>
  <c r="BO636" i="89"/>
  <c r="I640" i="89"/>
  <c r="BO640" i="89"/>
  <c r="I644" i="89"/>
  <c r="BJ644" i="89" s="1"/>
  <c r="BO644" i="89"/>
  <c r="I648" i="89"/>
  <c r="BO648" i="89"/>
  <c r="I652" i="89"/>
  <c r="BO652" i="89"/>
  <c r="I656" i="89"/>
  <c r="BO656" i="89"/>
  <c r="I660" i="89"/>
  <c r="BO660" i="89"/>
  <c r="I664" i="89"/>
  <c r="BO664" i="89"/>
  <c r="I668" i="89"/>
  <c r="BO668" i="89"/>
  <c r="I672" i="89"/>
  <c r="BO672" i="89"/>
  <c r="I676" i="89"/>
  <c r="BJ676" i="89" s="1"/>
  <c r="BO676" i="89"/>
  <c r="I680" i="89"/>
  <c r="BO680" i="89"/>
  <c r="I684" i="89"/>
  <c r="BO684" i="89"/>
  <c r="I688" i="89"/>
  <c r="BO688" i="89"/>
  <c r="I692" i="89"/>
  <c r="BJ692" i="89" s="1"/>
  <c r="BO692" i="89"/>
  <c r="I696" i="89"/>
  <c r="BO696" i="89"/>
  <c r="I700" i="89"/>
  <c r="BO700" i="89"/>
  <c r="I704" i="89"/>
  <c r="BO704" i="89"/>
  <c r="I708" i="89"/>
  <c r="BJ708" i="89" s="1"/>
  <c r="BO708" i="89"/>
  <c r="I712" i="89"/>
  <c r="BO712" i="89"/>
  <c r="I716" i="89"/>
  <c r="BO716" i="89"/>
  <c r="I720" i="89"/>
  <c r="BO720" i="89"/>
  <c r="I724" i="89"/>
  <c r="BJ724" i="89" s="1"/>
  <c r="BO724" i="89"/>
  <c r="I728" i="89"/>
  <c r="BO728" i="89"/>
  <c r="I732" i="89"/>
  <c r="BO732" i="89"/>
  <c r="I736" i="89"/>
  <c r="BO736" i="89"/>
  <c r="I740" i="89"/>
  <c r="BJ740" i="89" s="1"/>
  <c r="BO740" i="89"/>
  <c r="I744" i="89"/>
  <c r="BO744" i="89"/>
  <c r="I748" i="89"/>
  <c r="BO748" i="89"/>
  <c r="I752" i="89"/>
  <c r="BO752" i="89"/>
  <c r="I756" i="89"/>
  <c r="BJ756" i="89" s="1"/>
  <c r="BO756" i="89"/>
  <c r="I760" i="89"/>
  <c r="BO760" i="89"/>
  <c r="I764" i="89"/>
  <c r="BO764" i="89"/>
  <c r="I768" i="89"/>
  <c r="BO768" i="89"/>
  <c r="I772" i="89"/>
  <c r="BJ772" i="89" s="1"/>
  <c r="BO772" i="89"/>
  <c r="I776" i="89"/>
  <c r="BO776" i="89"/>
  <c r="I780" i="89"/>
  <c r="BO780" i="89"/>
  <c r="I784" i="89"/>
  <c r="BO784" i="89"/>
  <c r="I788" i="89"/>
  <c r="BJ788" i="89" s="1"/>
  <c r="BO788" i="89"/>
  <c r="I792" i="89"/>
  <c r="BO792" i="89"/>
  <c r="I796" i="89"/>
  <c r="BO796" i="89"/>
  <c r="I800" i="89"/>
  <c r="BO800" i="89"/>
  <c r="I804" i="89"/>
  <c r="BJ804" i="89" s="1"/>
  <c r="BO804" i="89"/>
  <c r="I808" i="89"/>
  <c r="BO808" i="89"/>
  <c r="I812" i="89"/>
  <c r="BO812" i="89"/>
  <c r="I816" i="89"/>
  <c r="BO816" i="89"/>
  <c r="I820" i="89"/>
  <c r="BJ820" i="89" s="1"/>
  <c r="BO820" i="89"/>
  <c r="I824" i="89"/>
  <c r="BO824" i="89"/>
  <c r="I828" i="89"/>
  <c r="BO828" i="89"/>
  <c r="I832" i="89"/>
  <c r="BO832" i="89"/>
  <c r="I836" i="89"/>
  <c r="BJ836" i="89" s="1"/>
  <c r="BO836" i="89"/>
  <c r="I840" i="89"/>
  <c r="BO840" i="89"/>
  <c r="I844" i="89"/>
  <c r="BO844" i="89"/>
  <c r="I848" i="89"/>
  <c r="BO848" i="89"/>
  <c r="I852" i="89"/>
  <c r="BJ852" i="89" s="1"/>
  <c r="BO852" i="89"/>
  <c r="I856" i="89"/>
  <c r="BO856" i="89"/>
  <c r="I860" i="89"/>
  <c r="BO860" i="89"/>
  <c r="I864" i="89"/>
  <c r="BO864" i="89"/>
  <c r="I868" i="89"/>
  <c r="BJ868" i="89" s="1"/>
  <c r="BO868" i="89"/>
  <c r="I872" i="89"/>
  <c r="BO872" i="89"/>
  <c r="I876" i="89"/>
  <c r="BO876" i="89"/>
  <c r="I880" i="89"/>
  <c r="BO880" i="89"/>
  <c r="I884" i="89"/>
  <c r="BJ884" i="89" s="1"/>
  <c r="BO884" i="89"/>
  <c r="I888" i="89"/>
  <c r="BO888" i="89"/>
  <c r="I892" i="89"/>
  <c r="BO892" i="89"/>
  <c r="I896" i="89"/>
  <c r="BO896" i="89"/>
  <c r="I900" i="89"/>
  <c r="BJ900" i="89" s="1"/>
  <c r="BO900" i="89"/>
  <c r="I904" i="89"/>
  <c r="BO904" i="89"/>
  <c r="I908" i="89"/>
  <c r="BO908" i="89"/>
  <c r="I912" i="89"/>
  <c r="BO912" i="89"/>
  <c r="I916" i="89"/>
  <c r="BJ916" i="89" s="1"/>
  <c r="BO916" i="89"/>
  <c r="I920" i="89"/>
  <c r="BO920" i="89"/>
  <c r="I924" i="89"/>
  <c r="BO924" i="89"/>
  <c r="I928" i="89"/>
  <c r="BO928" i="89"/>
  <c r="I932" i="89"/>
  <c r="BJ932" i="89" s="1"/>
  <c r="BO932" i="89"/>
  <c r="I936" i="89"/>
  <c r="BO936" i="89"/>
  <c r="I940" i="89"/>
  <c r="BO940" i="89"/>
  <c r="I944" i="89"/>
  <c r="BO944" i="89"/>
  <c r="I948" i="89"/>
  <c r="BJ948" i="89" s="1"/>
  <c r="BO948" i="89"/>
  <c r="I952" i="89"/>
  <c r="BO952" i="89"/>
  <c r="I956" i="89"/>
  <c r="BO956" i="89"/>
  <c r="I960" i="89"/>
  <c r="BO960" i="89"/>
  <c r="I964" i="89"/>
  <c r="BJ964" i="89" s="1"/>
  <c r="BO964" i="89"/>
  <c r="I968" i="89"/>
  <c r="BO968" i="89"/>
  <c r="I972" i="89"/>
  <c r="BO972" i="89"/>
  <c r="I976" i="89"/>
  <c r="BO976" i="89"/>
  <c r="I980" i="89"/>
  <c r="BJ980" i="89" s="1"/>
  <c r="BO980" i="89"/>
  <c r="I984" i="89"/>
  <c r="BO984" i="89"/>
  <c r="I988" i="89"/>
  <c r="BO988" i="89"/>
  <c r="I992" i="89"/>
  <c r="BO992" i="89"/>
  <c r="I996" i="89"/>
  <c r="BJ996" i="89" s="1"/>
  <c r="BO996" i="89"/>
  <c r="I1000" i="89"/>
  <c r="BO1000" i="89"/>
  <c r="I1004" i="89"/>
  <c r="BO1004" i="89"/>
  <c r="I1008" i="89"/>
  <c r="BO1008" i="89"/>
  <c r="I1012" i="89"/>
  <c r="BJ1012" i="89" s="1"/>
  <c r="BO1012" i="89"/>
  <c r="I1016" i="89"/>
  <c r="BO1016" i="89"/>
  <c r="I1020" i="89"/>
  <c r="BO1020" i="89"/>
  <c r="I1024" i="89"/>
  <c r="BO1024" i="89"/>
  <c r="I1028" i="89"/>
  <c r="BJ1028" i="89" s="1"/>
  <c r="BO1028" i="89"/>
  <c r="I1032" i="89"/>
  <c r="BO1032" i="89"/>
  <c r="I1036" i="89"/>
  <c r="BO1036" i="89"/>
  <c r="I1040" i="89"/>
  <c r="BO1040" i="89"/>
  <c r="I1044" i="89"/>
  <c r="BJ1044" i="89" s="1"/>
  <c r="BO1044" i="89"/>
  <c r="I1048" i="89"/>
  <c r="BO1048" i="89"/>
  <c r="I1052" i="89"/>
  <c r="BO1052" i="89"/>
  <c r="I1056" i="89"/>
  <c r="BO1056" i="89"/>
  <c r="I1060" i="89"/>
  <c r="BJ1060" i="89" s="1"/>
  <c r="BO1060" i="89"/>
  <c r="I1064" i="89"/>
  <c r="BO1064" i="89"/>
  <c r="I1068" i="89"/>
  <c r="BO1068" i="89"/>
  <c r="I1072" i="89"/>
  <c r="BO1072" i="89"/>
  <c r="I1076" i="89"/>
  <c r="BJ1076" i="89" s="1"/>
  <c r="BO1076" i="89"/>
  <c r="I1080" i="89"/>
  <c r="BO1080" i="89"/>
  <c r="I1084" i="89"/>
  <c r="BO1084" i="89"/>
  <c r="I1088" i="89"/>
  <c r="BO1088" i="89"/>
  <c r="I1092" i="89"/>
  <c r="BJ1092" i="89" s="1"/>
  <c r="BO1092" i="89"/>
  <c r="I1096" i="89"/>
  <c r="BO1096" i="89"/>
  <c r="I1100" i="89"/>
  <c r="BO1100" i="89"/>
  <c r="I1104" i="89"/>
  <c r="BO1104" i="89"/>
  <c r="I1108" i="89"/>
  <c r="BJ1108" i="89" s="1"/>
  <c r="BO1108" i="89"/>
  <c r="I1112" i="89"/>
  <c r="BO1112" i="89"/>
  <c r="I1116" i="89"/>
  <c r="BO1116" i="89"/>
  <c r="I1120" i="89"/>
  <c r="BO1120" i="89"/>
  <c r="I1124" i="89"/>
  <c r="BJ1124" i="89" s="1"/>
  <c r="BO1124" i="89"/>
  <c r="I1128" i="89"/>
  <c r="BO1128" i="89"/>
  <c r="I1132" i="89"/>
  <c r="BO1132" i="89"/>
  <c r="I1136" i="89"/>
  <c r="BO1136" i="89"/>
  <c r="I1140" i="89"/>
  <c r="BJ1140" i="89" s="1"/>
  <c r="BO1140" i="89"/>
  <c r="I1144" i="89"/>
  <c r="BO1144" i="89"/>
  <c r="I1148" i="89"/>
  <c r="BO1148" i="89"/>
  <c r="I1152" i="89"/>
  <c r="BO1152" i="89"/>
  <c r="I1156" i="89"/>
  <c r="BJ1156" i="89" s="1"/>
  <c r="BO1156" i="89"/>
  <c r="I1160" i="89"/>
  <c r="BO1160" i="89"/>
  <c r="I1164" i="89"/>
  <c r="BO1164" i="89"/>
  <c r="I1168" i="89"/>
  <c r="BO1168" i="89"/>
  <c r="I1172" i="89"/>
  <c r="BJ1172" i="89" s="1"/>
  <c r="BO1172" i="89"/>
  <c r="I1176" i="89"/>
  <c r="BO1176" i="89"/>
  <c r="I1180" i="89"/>
  <c r="BO1180" i="89"/>
  <c r="I1184" i="89"/>
  <c r="BO1184" i="89"/>
  <c r="I1188" i="89"/>
  <c r="BJ1188" i="89" s="1"/>
  <c r="BO1188" i="89"/>
  <c r="I1192" i="89"/>
  <c r="BO1192" i="89"/>
  <c r="I1196" i="89"/>
  <c r="BO1196" i="89"/>
  <c r="I1200" i="89"/>
  <c r="BO1200" i="89"/>
  <c r="I1204" i="89"/>
  <c r="BJ1204" i="89" s="1"/>
  <c r="BO1204" i="89"/>
  <c r="I1208" i="89"/>
  <c r="BO1208" i="89"/>
  <c r="I1212" i="89"/>
  <c r="BO1212" i="89"/>
  <c r="I1216" i="89"/>
  <c r="BO1216" i="89"/>
  <c r="I1220" i="89"/>
  <c r="BJ1220" i="89" s="1"/>
  <c r="BO1220" i="89"/>
  <c r="I1224" i="89"/>
  <c r="BO1224" i="89"/>
  <c r="I1228" i="89"/>
  <c r="BO1228" i="89"/>
  <c r="I1232" i="89"/>
  <c r="BO1232" i="89"/>
  <c r="I1236" i="89"/>
  <c r="BJ1236" i="89" s="1"/>
  <c r="BO1236" i="89"/>
  <c r="I1240" i="89"/>
  <c r="BO1240" i="89"/>
  <c r="I1244" i="89"/>
  <c r="BO1244" i="89"/>
  <c r="I1248" i="89"/>
  <c r="BO1248" i="89"/>
  <c r="I1252" i="89"/>
  <c r="BJ1252" i="89" s="1"/>
  <c r="BO1252" i="89"/>
  <c r="I1256" i="89"/>
  <c r="BO1256" i="89"/>
  <c r="I1260" i="89"/>
  <c r="BO1260" i="89"/>
  <c r="I1264" i="89"/>
  <c r="BO1264" i="89"/>
  <c r="I1268" i="89"/>
  <c r="BJ1268" i="89" s="1"/>
  <c r="BO1268" i="89"/>
  <c r="I1272" i="89"/>
  <c r="BO1272" i="89"/>
  <c r="I1276" i="89"/>
  <c r="BO1276" i="89"/>
  <c r="I1280" i="89"/>
  <c r="BO1280" i="89"/>
  <c r="I1284" i="89"/>
  <c r="BJ1284" i="89" s="1"/>
  <c r="BO1284" i="89"/>
  <c r="I1288" i="89"/>
  <c r="BO1288" i="89"/>
  <c r="I1292" i="89"/>
  <c r="BO1292" i="89"/>
  <c r="I1296" i="89"/>
  <c r="BO1296" i="89"/>
  <c r="I1300" i="89"/>
  <c r="BJ1300" i="89" s="1"/>
  <c r="BO1300" i="89"/>
  <c r="I1304" i="89"/>
  <c r="BO1304" i="89"/>
  <c r="I1308" i="89"/>
  <c r="BO1308" i="89"/>
  <c r="I1312" i="89"/>
  <c r="BO1312" i="89"/>
  <c r="I1316" i="89"/>
  <c r="BJ1316" i="89" s="1"/>
  <c r="BO1316" i="89"/>
  <c r="I1320" i="89"/>
  <c r="BO1320" i="89"/>
  <c r="I1324" i="89"/>
  <c r="BO1324" i="89"/>
  <c r="I1328" i="89"/>
  <c r="BO1328" i="89"/>
  <c r="I1332" i="89"/>
  <c r="BJ1332" i="89" s="1"/>
  <c r="BO1332" i="89"/>
  <c r="I1336" i="89"/>
  <c r="BO1336" i="89"/>
  <c r="I1340" i="89"/>
  <c r="BO1340" i="89"/>
  <c r="I1344" i="89"/>
  <c r="BO1344" i="89"/>
  <c r="I1348" i="89"/>
  <c r="BJ1348" i="89" s="1"/>
  <c r="BO1348" i="89"/>
  <c r="I1352" i="89"/>
  <c r="BO1352" i="89"/>
  <c r="I1356" i="89"/>
  <c r="BO1356" i="89"/>
  <c r="I1360" i="89"/>
  <c r="BO1360" i="89"/>
  <c r="I1364" i="89"/>
  <c r="BJ1364" i="89" s="1"/>
  <c r="BO1364" i="89"/>
  <c r="I1368" i="89"/>
  <c r="BO1368" i="89"/>
  <c r="I1372" i="89"/>
  <c r="BO1372" i="89"/>
  <c r="I1376" i="89"/>
  <c r="BO1376" i="89"/>
  <c r="I1380" i="89"/>
  <c r="BJ1380" i="89" s="1"/>
  <c r="BO1380" i="89"/>
  <c r="I1384" i="89"/>
  <c r="BO1384" i="89"/>
  <c r="I1388" i="89"/>
  <c r="BO1388" i="89"/>
  <c r="I1392" i="89"/>
  <c r="BO1392" i="89"/>
  <c r="I1396" i="89"/>
  <c r="BJ1396" i="89" s="1"/>
  <c r="BO1396" i="89"/>
  <c r="I1400" i="89"/>
  <c r="BO1400" i="89"/>
  <c r="I1404" i="89"/>
  <c r="BO1404" i="89"/>
  <c r="I1408" i="89"/>
  <c r="BO1408" i="89"/>
  <c r="I1412" i="89"/>
  <c r="BJ1412" i="89" s="1"/>
  <c r="BO1412" i="89"/>
  <c r="I1416" i="89"/>
  <c r="BO1416" i="89"/>
  <c r="I1420" i="89"/>
  <c r="BO1420" i="89"/>
  <c r="I1424" i="89"/>
  <c r="BO1424" i="89"/>
  <c r="I1428" i="89"/>
  <c r="BJ1428" i="89" s="1"/>
  <c r="BO1428" i="89"/>
  <c r="I1432" i="89"/>
  <c r="BO1432" i="89"/>
  <c r="I1436" i="89"/>
  <c r="BO1436" i="89"/>
  <c r="I1440" i="89"/>
  <c r="BO1440" i="89"/>
  <c r="I1444" i="89"/>
  <c r="BJ1444" i="89" s="1"/>
  <c r="BO1444" i="89"/>
  <c r="I1448" i="89"/>
  <c r="BO1448" i="89"/>
  <c r="I1452" i="89"/>
  <c r="BJ1452" i="89" s="1"/>
  <c r="BO1452" i="89"/>
  <c r="I1456" i="89"/>
  <c r="BO1456" i="89"/>
  <c r="I1460" i="89"/>
  <c r="BJ1460" i="89" s="1"/>
  <c r="BO1460" i="89"/>
  <c r="I1464" i="89"/>
  <c r="BO1464" i="89"/>
  <c r="I1468" i="89"/>
  <c r="BO1468" i="89"/>
  <c r="I1472" i="89"/>
  <c r="BO1472" i="89"/>
  <c r="I1476" i="89"/>
  <c r="BJ1476" i="89" s="1"/>
  <c r="BO1476" i="89"/>
  <c r="I1480" i="89"/>
  <c r="BO1480" i="89"/>
  <c r="I1484" i="89"/>
  <c r="BO1484" i="89"/>
  <c r="I1488" i="89"/>
  <c r="BO1488" i="89"/>
  <c r="I1492" i="89"/>
  <c r="BJ1492" i="89" s="1"/>
  <c r="BO1492" i="89"/>
  <c r="I1496" i="89"/>
  <c r="BO1496" i="89"/>
  <c r="I487" i="89"/>
  <c r="BJ487" i="89" s="1"/>
  <c r="BO487" i="89"/>
  <c r="I491" i="89"/>
  <c r="BO491" i="89"/>
  <c r="I495" i="89"/>
  <c r="BJ495" i="89" s="1"/>
  <c r="BO495" i="89"/>
  <c r="I499" i="89"/>
  <c r="BO499" i="89"/>
  <c r="I503" i="89"/>
  <c r="BO503" i="89"/>
  <c r="I507" i="89"/>
  <c r="BO507" i="89"/>
  <c r="I511" i="89"/>
  <c r="BJ511" i="89" s="1"/>
  <c r="BO511" i="89"/>
  <c r="I515" i="89"/>
  <c r="BO515" i="89"/>
  <c r="I519" i="89"/>
  <c r="BO519" i="89"/>
  <c r="I523" i="89"/>
  <c r="BO523" i="89"/>
  <c r="I527" i="89"/>
  <c r="BJ527" i="89" s="1"/>
  <c r="BO527" i="89"/>
  <c r="I531" i="89"/>
  <c r="BO531" i="89"/>
  <c r="I535" i="89"/>
  <c r="BO535" i="89"/>
  <c r="I539" i="89"/>
  <c r="BO539" i="89"/>
  <c r="I543" i="89"/>
  <c r="BJ543" i="89" s="1"/>
  <c r="BO543" i="89"/>
  <c r="I547" i="89"/>
  <c r="BO547" i="89"/>
  <c r="I551" i="89"/>
  <c r="BO551" i="89"/>
  <c r="I555" i="89"/>
  <c r="BO555" i="89"/>
  <c r="I559" i="89"/>
  <c r="BJ559" i="89" s="1"/>
  <c r="BO559" i="89"/>
  <c r="I563" i="89"/>
  <c r="BO563" i="89"/>
  <c r="I567" i="89"/>
  <c r="BO567" i="89"/>
  <c r="I571" i="89"/>
  <c r="BO571" i="89"/>
  <c r="I575" i="89"/>
  <c r="BJ575" i="89" s="1"/>
  <c r="BO575" i="89"/>
  <c r="I579" i="89"/>
  <c r="BO579" i="89"/>
  <c r="I583" i="89"/>
  <c r="BO583" i="89"/>
  <c r="I587" i="89"/>
  <c r="BO587" i="89"/>
  <c r="I591" i="89"/>
  <c r="BJ591" i="89" s="1"/>
  <c r="BO591" i="89"/>
  <c r="I595" i="89"/>
  <c r="BO595" i="89"/>
  <c r="I599" i="89"/>
  <c r="BO599" i="89"/>
  <c r="I603" i="89"/>
  <c r="BO603" i="89"/>
  <c r="I607" i="89"/>
  <c r="BJ607" i="89" s="1"/>
  <c r="BO607" i="89"/>
  <c r="I611" i="89"/>
  <c r="BO611" i="89"/>
  <c r="I615" i="89"/>
  <c r="BO615" i="89"/>
  <c r="I619" i="89"/>
  <c r="BO619" i="89"/>
  <c r="I623" i="89"/>
  <c r="BJ623" i="89" s="1"/>
  <c r="BO623" i="89"/>
  <c r="I627" i="89"/>
  <c r="BO627" i="89"/>
  <c r="I631" i="89"/>
  <c r="BO631" i="89"/>
  <c r="I635" i="89"/>
  <c r="BO635" i="89"/>
  <c r="I639" i="89"/>
  <c r="BJ639" i="89" s="1"/>
  <c r="BO639" i="89"/>
  <c r="I643" i="89"/>
  <c r="BO643" i="89"/>
  <c r="I647" i="89"/>
  <c r="BO647" i="89"/>
  <c r="I651" i="89"/>
  <c r="BO651" i="89"/>
  <c r="I655" i="89"/>
  <c r="BJ655" i="89" s="1"/>
  <c r="BO655" i="89"/>
  <c r="I659" i="89"/>
  <c r="BO659" i="89"/>
  <c r="I663" i="89"/>
  <c r="BO663" i="89"/>
  <c r="I667" i="89"/>
  <c r="BO667" i="89"/>
  <c r="I671" i="89"/>
  <c r="BJ671" i="89" s="1"/>
  <c r="BO671" i="89"/>
  <c r="I675" i="89"/>
  <c r="BO675" i="89"/>
  <c r="I679" i="89"/>
  <c r="BO679" i="89"/>
  <c r="I683" i="89"/>
  <c r="BO683" i="89"/>
  <c r="I687" i="89"/>
  <c r="BJ687" i="89" s="1"/>
  <c r="BO687" i="89"/>
  <c r="I691" i="89"/>
  <c r="BO691" i="89"/>
  <c r="I695" i="89"/>
  <c r="BO695" i="89"/>
  <c r="I699" i="89"/>
  <c r="BO699" i="89"/>
  <c r="I703" i="89"/>
  <c r="BJ703" i="89" s="1"/>
  <c r="BO703" i="89"/>
  <c r="I707" i="89"/>
  <c r="BO707" i="89"/>
  <c r="I711" i="89"/>
  <c r="BO711" i="89"/>
  <c r="I715" i="89"/>
  <c r="BO715" i="89"/>
  <c r="I719" i="89"/>
  <c r="BJ719" i="89" s="1"/>
  <c r="BO719" i="89"/>
  <c r="I723" i="89"/>
  <c r="BO723" i="89"/>
  <c r="I727" i="89"/>
  <c r="BO727" i="89"/>
  <c r="I731" i="89"/>
  <c r="BO731" i="89"/>
  <c r="I735" i="89"/>
  <c r="BJ735" i="89" s="1"/>
  <c r="BO735" i="89"/>
  <c r="I739" i="89"/>
  <c r="BO739" i="89"/>
  <c r="I743" i="89"/>
  <c r="BO743" i="89"/>
  <c r="I747" i="89"/>
  <c r="BO747" i="89"/>
  <c r="I751" i="89"/>
  <c r="BJ751" i="89" s="1"/>
  <c r="BO751" i="89"/>
  <c r="I755" i="89"/>
  <c r="BO755" i="89"/>
  <c r="I759" i="89"/>
  <c r="BO759" i="89"/>
  <c r="I763" i="89"/>
  <c r="BO763" i="89"/>
  <c r="I767" i="89"/>
  <c r="BJ767" i="89" s="1"/>
  <c r="BO767" i="89"/>
  <c r="I771" i="89"/>
  <c r="BO771" i="89"/>
  <c r="I775" i="89"/>
  <c r="BO775" i="89"/>
  <c r="I779" i="89"/>
  <c r="BO779" i="89"/>
  <c r="I783" i="89"/>
  <c r="BJ783" i="89" s="1"/>
  <c r="BO783" i="89"/>
  <c r="I787" i="89"/>
  <c r="BO787" i="89"/>
  <c r="I791" i="89"/>
  <c r="BO791" i="89"/>
  <c r="I795" i="89"/>
  <c r="BO795" i="89"/>
  <c r="I799" i="89"/>
  <c r="BJ799" i="89" s="1"/>
  <c r="BO799" i="89"/>
  <c r="I803" i="89"/>
  <c r="BO803" i="89"/>
  <c r="I807" i="89"/>
  <c r="BO807" i="89"/>
  <c r="I811" i="89"/>
  <c r="BO811" i="89"/>
  <c r="I815" i="89"/>
  <c r="BO815" i="89"/>
  <c r="I819" i="89"/>
  <c r="BO819" i="89"/>
  <c r="I823" i="89"/>
  <c r="BO823" i="89"/>
  <c r="I827" i="89"/>
  <c r="BO827" i="89"/>
  <c r="I831" i="89"/>
  <c r="BJ831" i="89" s="1"/>
  <c r="BO831" i="89"/>
  <c r="I835" i="89"/>
  <c r="BO835" i="89"/>
  <c r="I839" i="89"/>
  <c r="BO839" i="89"/>
  <c r="I843" i="89"/>
  <c r="BO843" i="89"/>
  <c r="I847" i="89"/>
  <c r="BJ847" i="89" s="1"/>
  <c r="BO847" i="89"/>
  <c r="I851" i="89"/>
  <c r="BO851" i="89"/>
  <c r="I855" i="89"/>
  <c r="BO855" i="89"/>
  <c r="I859" i="89"/>
  <c r="BO859" i="89"/>
  <c r="I863" i="89"/>
  <c r="BJ863" i="89" s="1"/>
  <c r="BO863" i="89"/>
  <c r="I867" i="89"/>
  <c r="BO867" i="89"/>
  <c r="I871" i="89"/>
  <c r="BO871" i="89"/>
  <c r="I875" i="89"/>
  <c r="BO875" i="89"/>
  <c r="I879" i="89"/>
  <c r="BJ879" i="89" s="1"/>
  <c r="BO879" i="89"/>
  <c r="I883" i="89"/>
  <c r="BO883" i="89"/>
  <c r="I887" i="89"/>
  <c r="BO887" i="89"/>
  <c r="I891" i="89"/>
  <c r="BO891" i="89"/>
  <c r="I895" i="89"/>
  <c r="BJ895" i="89" s="1"/>
  <c r="BO895" i="89"/>
  <c r="I899" i="89"/>
  <c r="BO899" i="89"/>
  <c r="I903" i="89"/>
  <c r="BO903" i="89"/>
  <c r="I907" i="89"/>
  <c r="BO907" i="89"/>
  <c r="I911" i="89"/>
  <c r="BJ911" i="89" s="1"/>
  <c r="BO911" i="89"/>
  <c r="I915" i="89"/>
  <c r="BO915" i="89"/>
  <c r="I919" i="89"/>
  <c r="BO919" i="89"/>
  <c r="I923" i="89"/>
  <c r="BO923" i="89"/>
  <c r="I927" i="89"/>
  <c r="BJ927" i="89" s="1"/>
  <c r="BO927" i="89"/>
  <c r="I931" i="89"/>
  <c r="BO931" i="89"/>
  <c r="I935" i="89"/>
  <c r="BO935" i="89"/>
  <c r="I939" i="89"/>
  <c r="BO939" i="89"/>
  <c r="I943" i="89"/>
  <c r="BJ943" i="89" s="1"/>
  <c r="BO943" i="89"/>
  <c r="I947" i="89"/>
  <c r="BO947" i="89"/>
  <c r="I951" i="89"/>
  <c r="BO951" i="89"/>
  <c r="I955" i="89"/>
  <c r="BO955" i="89"/>
  <c r="I959" i="89"/>
  <c r="BJ959" i="89" s="1"/>
  <c r="BO959" i="89"/>
  <c r="I963" i="89"/>
  <c r="BO963" i="89"/>
  <c r="I967" i="89"/>
  <c r="BO967" i="89"/>
  <c r="I971" i="89"/>
  <c r="BO971" i="89"/>
  <c r="I975" i="89"/>
  <c r="BJ975" i="89" s="1"/>
  <c r="BO975" i="89"/>
  <c r="I979" i="89"/>
  <c r="BO979" i="89"/>
  <c r="I983" i="89"/>
  <c r="BO983" i="89"/>
  <c r="I987" i="89"/>
  <c r="BO987" i="89"/>
  <c r="I991" i="89"/>
  <c r="BJ991" i="89" s="1"/>
  <c r="BO991" i="89"/>
  <c r="I995" i="89"/>
  <c r="BO995" i="89"/>
  <c r="I999" i="89"/>
  <c r="BJ999" i="89" s="1"/>
  <c r="BO999" i="89"/>
  <c r="I1003" i="89"/>
  <c r="BO1003" i="89"/>
  <c r="I1007" i="89"/>
  <c r="BJ1007" i="89" s="1"/>
  <c r="BO1007" i="89"/>
  <c r="I1011" i="89"/>
  <c r="BO1011" i="89"/>
  <c r="I1015" i="89"/>
  <c r="BO1015" i="89"/>
  <c r="I1019" i="89"/>
  <c r="BO1019" i="89"/>
  <c r="I1023" i="89"/>
  <c r="BO1023" i="89"/>
  <c r="I1027" i="89"/>
  <c r="BO1027" i="89"/>
  <c r="I1031" i="89"/>
  <c r="BO1031" i="89"/>
  <c r="I1035" i="89"/>
  <c r="BO1035" i="89"/>
  <c r="I1039" i="89"/>
  <c r="BJ1039" i="89" s="1"/>
  <c r="BO1039" i="89"/>
  <c r="I1043" i="89"/>
  <c r="BO1043" i="89"/>
  <c r="I1047" i="89"/>
  <c r="BO1047" i="89"/>
  <c r="I1051" i="89"/>
  <c r="BO1051" i="89"/>
  <c r="I1055" i="89"/>
  <c r="BO1055" i="89"/>
  <c r="I1059" i="89"/>
  <c r="BO1059" i="89"/>
  <c r="I1063" i="89"/>
  <c r="BO1063" i="89"/>
  <c r="I1067" i="89"/>
  <c r="BO1067" i="89"/>
  <c r="I1071" i="89"/>
  <c r="BJ1071" i="89" s="1"/>
  <c r="BO1071" i="89"/>
  <c r="I1075" i="89"/>
  <c r="BO1075" i="89"/>
  <c r="I1079" i="89"/>
  <c r="BO1079" i="89"/>
  <c r="I1083" i="89"/>
  <c r="BO1083" i="89"/>
  <c r="I1087" i="89"/>
  <c r="BO1087" i="89"/>
  <c r="I1091" i="89"/>
  <c r="BO1091" i="89"/>
  <c r="I1095" i="89"/>
  <c r="BO1095" i="89"/>
  <c r="I1099" i="89"/>
  <c r="BO1099" i="89"/>
  <c r="I1103" i="89"/>
  <c r="BJ1103" i="89" s="1"/>
  <c r="BO1103" i="89"/>
  <c r="I1107" i="89"/>
  <c r="BO1107" i="89"/>
  <c r="I1111" i="89"/>
  <c r="BO1111" i="89"/>
  <c r="I1115" i="89"/>
  <c r="BO1115" i="89"/>
  <c r="I1119" i="89"/>
  <c r="BO1119" i="89"/>
  <c r="I1123" i="89"/>
  <c r="BO1123" i="89"/>
  <c r="I1127" i="89"/>
  <c r="BO1127" i="89"/>
  <c r="I1131" i="89"/>
  <c r="BO1131" i="89"/>
  <c r="I1135" i="89"/>
  <c r="BJ1135" i="89" s="1"/>
  <c r="BO1135" i="89"/>
  <c r="I1139" i="89"/>
  <c r="BO1139" i="89"/>
  <c r="I1143" i="89"/>
  <c r="BO1143" i="89"/>
  <c r="I1147" i="89"/>
  <c r="BO1147" i="89"/>
  <c r="I1151" i="89"/>
  <c r="BO1151" i="89"/>
  <c r="I1155" i="89"/>
  <c r="BO1155" i="89"/>
  <c r="I1159" i="89"/>
  <c r="BO1159" i="89"/>
  <c r="I1163" i="89"/>
  <c r="BO1163" i="89"/>
  <c r="I1167" i="89"/>
  <c r="BJ1167" i="89" s="1"/>
  <c r="BO1167" i="89"/>
  <c r="I1171" i="89"/>
  <c r="BO1171" i="89"/>
  <c r="I1175" i="89"/>
  <c r="BO1175" i="89"/>
  <c r="I1179" i="89"/>
  <c r="BO1179" i="89"/>
  <c r="I1183" i="89"/>
  <c r="BO1183" i="89"/>
  <c r="I1187" i="89"/>
  <c r="BO1187" i="89"/>
  <c r="I1191" i="89"/>
  <c r="BO1191" i="89"/>
  <c r="I1195" i="89"/>
  <c r="BO1195" i="89"/>
  <c r="I1199" i="89"/>
  <c r="BJ1199" i="89" s="1"/>
  <c r="BO1199" i="89"/>
  <c r="I1203" i="89"/>
  <c r="BO1203" i="89"/>
  <c r="I1207" i="89"/>
  <c r="BO1207" i="89"/>
  <c r="I1211" i="89"/>
  <c r="BO1211" i="89"/>
  <c r="I1215" i="89"/>
  <c r="BO1215" i="89"/>
  <c r="I1219" i="89"/>
  <c r="BO1219" i="89"/>
  <c r="I1223" i="89"/>
  <c r="BO1223" i="89"/>
  <c r="I1227" i="89"/>
  <c r="BO1227" i="89"/>
  <c r="I1231" i="89"/>
  <c r="BJ1231" i="89" s="1"/>
  <c r="BO1231" i="89"/>
  <c r="I1235" i="89"/>
  <c r="BO1235" i="89"/>
  <c r="I1239" i="89"/>
  <c r="BO1239" i="89"/>
  <c r="I1243" i="89"/>
  <c r="BO1243" i="89"/>
  <c r="I1247" i="89"/>
  <c r="BO1247" i="89"/>
  <c r="I1251" i="89"/>
  <c r="BO1251" i="89"/>
  <c r="I1255" i="89"/>
  <c r="BO1255" i="89"/>
  <c r="I1259" i="89"/>
  <c r="BO1259" i="89"/>
  <c r="I1263" i="89"/>
  <c r="BO1263" i="89"/>
  <c r="I1267" i="89"/>
  <c r="BO1267" i="89"/>
  <c r="I1271" i="89"/>
  <c r="BO1271" i="89"/>
  <c r="I1275" i="89"/>
  <c r="BO1275" i="89"/>
  <c r="I1279" i="89"/>
  <c r="BO1279" i="89"/>
  <c r="I1283" i="89"/>
  <c r="BO1283" i="89"/>
  <c r="I1287" i="89"/>
  <c r="BO1287" i="89"/>
  <c r="I1291" i="89"/>
  <c r="BO1291" i="89"/>
  <c r="I1295" i="89"/>
  <c r="BJ1295" i="89" s="1"/>
  <c r="BO1295" i="89"/>
  <c r="I1299" i="89"/>
  <c r="BO1299" i="89"/>
  <c r="I1303" i="89"/>
  <c r="BO1303" i="89"/>
  <c r="I1307" i="89"/>
  <c r="BO1307" i="89"/>
  <c r="I1311" i="89"/>
  <c r="BO1311" i="89"/>
  <c r="I1315" i="89"/>
  <c r="BO1315" i="89"/>
  <c r="I1319" i="89"/>
  <c r="BO1319" i="89"/>
  <c r="I1323" i="89"/>
  <c r="BO1323" i="89"/>
  <c r="I1327" i="89"/>
  <c r="BJ1327" i="89" s="1"/>
  <c r="BO1327" i="89"/>
  <c r="I1331" i="89"/>
  <c r="BO1331" i="89"/>
  <c r="I1335" i="89"/>
  <c r="BO1335" i="89"/>
  <c r="I1339" i="89"/>
  <c r="BO1339" i="89"/>
  <c r="I1343" i="89"/>
  <c r="BO1343" i="89"/>
  <c r="I1347" i="89"/>
  <c r="BO1347" i="89"/>
  <c r="I1351" i="89"/>
  <c r="BO1351" i="89"/>
  <c r="I1355" i="89"/>
  <c r="BO1355" i="89"/>
  <c r="I1359" i="89"/>
  <c r="BJ1359" i="89" s="1"/>
  <c r="BO1359" i="89"/>
  <c r="I1363" i="89"/>
  <c r="BO1363" i="89"/>
  <c r="I1367" i="89"/>
  <c r="BO1367" i="89"/>
  <c r="I1371" i="89"/>
  <c r="BO1371" i="89"/>
  <c r="I1375" i="89"/>
  <c r="BO1375" i="89"/>
  <c r="I1379" i="89"/>
  <c r="BO1379" i="89"/>
  <c r="I1383" i="89"/>
  <c r="BO1383" i="89"/>
  <c r="I1387" i="89"/>
  <c r="BO1387" i="89"/>
  <c r="I1391" i="89"/>
  <c r="BJ1391" i="89" s="1"/>
  <c r="BO1391" i="89"/>
  <c r="I1395" i="89"/>
  <c r="BO1395" i="89"/>
  <c r="I1399" i="89"/>
  <c r="BO1399" i="89"/>
  <c r="I1403" i="89"/>
  <c r="BO1403" i="89"/>
  <c r="I1407" i="89"/>
  <c r="BO1407" i="89"/>
  <c r="I1411" i="89"/>
  <c r="BO1411" i="89"/>
  <c r="I1415" i="89"/>
  <c r="BO1415" i="89"/>
  <c r="I1419" i="89"/>
  <c r="BO1419" i="89"/>
  <c r="I1423" i="89"/>
  <c r="BJ1423" i="89" s="1"/>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J1487" i="89" s="1"/>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70" i="89"/>
  <c r="BJ78" i="89"/>
  <c r="BJ86" i="89"/>
  <c r="BJ94" i="89"/>
  <c r="BJ102" i="89"/>
  <c r="BJ110" i="89"/>
  <c r="BJ118" i="89"/>
  <c r="BJ126" i="89"/>
  <c r="BJ134" i="89"/>
  <c r="BJ142" i="89"/>
  <c r="BJ150" i="89"/>
  <c r="BJ158" i="89"/>
  <c r="BJ166" i="89"/>
  <c r="BJ174" i="89"/>
  <c r="BJ182" i="89"/>
  <c r="BJ190" i="89"/>
  <c r="BJ198" i="89"/>
  <c r="BJ206" i="89"/>
  <c r="BJ214" i="89"/>
  <c r="BJ222" i="89"/>
  <c r="BJ230" i="89"/>
  <c r="BJ238" i="89"/>
  <c r="BJ246" i="89"/>
  <c r="BJ254" i="89"/>
  <c r="BJ262" i="89"/>
  <c r="BJ270" i="89"/>
  <c r="BJ278" i="89"/>
  <c r="BJ286" i="89"/>
  <c r="BJ294" i="89"/>
  <c r="BJ302" i="89"/>
  <c r="BJ310" i="89"/>
  <c r="BJ318" i="89"/>
  <c r="BJ326" i="89"/>
  <c r="BJ334" i="89"/>
  <c r="BJ342" i="89"/>
  <c r="BJ350" i="89"/>
  <c r="BJ358" i="89"/>
  <c r="BJ366" i="89"/>
  <c r="BJ374" i="89"/>
  <c r="BJ382" i="89"/>
  <c r="BJ390" i="89"/>
  <c r="BJ398" i="89"/>
  <c r="BJ406" i="89"/>
  <c r="BJ414" i="89"/>
  <c r="BJ422" i="89"/>
  <c r="BJ430" i="89"/>
  <c r="BJ438" i="89"/>
  <c r="BJ446" i="89"/>
  <c r="BJ454" i="89"/>
  <c r="BJ462" i="89"/>
  <c r="BJ470" i="89"/>
  <c r="BJ478" i="89"/>
  <c r="BJ53" i="89"/>
  <c r="BJ61" i="89"/>
  <c r="BJ65" i="89"/>
  <c r="BJ69" i="89"/>
  <c r="BJ77" i="89"/>
  <c r="BJ85" i="89"/>
  <c r="BJ93" i="89"/>
  <c r="BJ101" i="89"/>
  <c r="BJ109" i="89"/>
  <c r="BJ117" i="89"/>
  <c r="BJ125" i="89"/>
  <c r="BJ133" i="89"/>
  <c r="BJ141" i="89"/>
  <c r="BJ149" i="89"/>
  <c r="BJ157" i="89"/>
  <c r="BJ165" i="89"/>
  <c r="BJ173" i="89"/>
  <c r="BJ181" i="89"/>
  <c r="BJ189" i="89"/>
  <c r="BJ197" i="89"/>
  <c r="BJ205" i="89"/>
  <c r="BJ213" i="89"/>
  <c r="BJ221" i="89"/>
  <c r="BJ229" i="89"/>
  <c r="BJ237" i="89"/>
  <c r="BJ245" i="89"/>
  <c r="BJ253" i="89"/>
  <c r="BJ261" i="89"/>
  <c r="BJ269" i="89"/>
  <c r="BJ277" i="89"/>
  <c r="BJ285" i="89"/>
  <c r="BJ293" i="89"/>
  <c r="BJ301" i="89"/>
  <c r="BJ309" i="89"/>
  <c r="BJ317" i="89"/>
  <c r="BJ325" i="89"/>
  <c r="BJ333" i="89"/>
  <c r="BJ341" i="89"/>
  <c r="BJ349" i="89"/>
  <c r="BJ357" i="89"/>
  <c r="BJ365" i="89"/>
  <c r="BJ373" i="89"/>
  <c r="BJ381" i="89"/>
  <c r="BJ389" i="89"/>
  <c r="BJ397" i="89"/>
  <c r="BJ405" i="89"/>
  <c r="BJ413" i="89"/>
  <c r="BJ421" i="89"/>
  <c r="BJ429" i="89"/>
  <c r="BJ437" i="89"/>
  <c r="BJ445" i="89"/>
  <c r="BJ453" i="89"/>
  <c r="BJ461" i="89"/>
  <c r="BJ469" i="89"/>
  <c r="BJ52" i="89"/>
  <c r="BJ60" i="89"/>
  <c r="BJ68" i="89"/>
  <c r="BJ76" i="89"/>
  <c r="BJ84" i="89"/>
  <c r="BJ92" i="89"/>
  <c r="BJ100" i="89"/>
  <c r="BJ108" i="89"/>
  <c r="BJ116" i="89"/>
  <c r="BJ124" i="89"/>
  <c r="BJ132" i="89"/>
  <c r="BJ140" i="89"/>
  <c r="BJ148" i="89"/>
  <c r="BJ156" i="89"/>
  <c r="BJ164" i="89"/>
  <c r="BJ172" i="89"/>
  <c r="BJ180" i="89"/>
  <c r="BJ188" i="89"/>
  <c r="BJ196" i="89"/>
  <c r="BJ204" i="89"/>
  <c r="BJ212" i="89"/>
  <c r="BJ220" i="89"/>
  <c r="BJ228" i="89"/>
  <c r="BJ236" i="89"/>
  <c r="BJ240" i="89"/>
  <c r="BJ244" i="89"/>
  <c r="BJ252" i="89"/>
  <c r="BJ260" i="89"/>
  <c r="BJ268" i="89"/>
  <c r="BJ276" i="89"/>
  <c r="BJ284" i="89"/>
  <c r="BJ292" i="89"/>
  <c r="BJ300" i="89"/>
  <c r="BJ308" i="89"/>
  <c r="BJ316" i="89"/>
  <c r="BJ324" i="89"/>
  <c r="BJ332" i="89"/>
  <c r="BJ340" i="89"/>
  <c r="BJ348" i="89"/>
  <c r="BJ356" i="89"/>
  <c r="BJ364" i="89"/>
  <c r="BJ372" i="89"/>
  <c r="BJ380" i="89"/>
  <c r="BJ388" i="89"/>
  <c r="BJ392" i="89"/>
  <c r="BJ396" i="89"/>
  <c r="BJ404" i="89"/>
  <c r="BJ412" i="89"/>
  <c r="BJ420" i="89"/>
  <c r="BJ428" i="89"/>
  <c r="BJ436" i="89"/>
  <c r="BJ444" i="89"/>
  <c r="BJ452" i="89"/>
  <c r="BJ460" i="89"/>
  <c r="BJ468" i="89"/>
  <c r="BJ476" i="89"/>
  <c r="BJ488" i="89"/>
  <c r="BJ504" i="89"/>
  <c r="BJ520" i="89"/>
  <c r="BJ536" i="89"/>
  <c r="BJ552" i="89"/>
  <c r="BJ568" i="89"/>
  <c r="BJ584" i="89"/>
  <c r="BJ51" i="89"/>
  <c r="BJ59" i="89"/>
  <c r="BJ67" i="89"/>
  <c r="BJ75" i="89"/>
  <c r="BJ83" i="89"/>
  <c r="BJ91" i="89"/>
  <c r="BJ99" i="89"/>
  <c r="BJ107" i="89"/>
  <c r="BJ115" i="89"/>
  <c r="BJ123" i="89"/>
  <c r="BJ131" i="89"/>
  <c r="BJ139" i="89"/>
  <c r="BJ147" i="89"/>
  <c r="BJ155" i="89"/>
  <c r="BJ163" i="89"/>
  <c r="BJ171" i="89"/>
  <c r="BJ179" i="89"/>
  <c r="BJ187" i="89"/>
  <c r="BJ195" i="89"/>
  <c r="BJ203" i="89"/>
  <c r="BJ211" i="89"/>
  <c r="BJ219" i="89"/>
  <c r="BJ227" i="89"/>
  <c r="BJ235" i="89"/>
  <c r="BJ243" i="89"/>
  <c r="BJ251" i="89"/>
  <c r="BJ259" i="89"/>
  <c r="BJ267" i="89"/>
  <c r="BJ275" i="89"/>
  <c r="BJ283" i="89"/>
  <c r="BJ291" i="89"/>
  <c r="BJ299" i="89"/>
  <c r="BJ307" i="89"/>
  <c r="BJ315" i="89"/>
  <c r="BJ323" i="89"/>
  <c r="BJ331" i="89"/>
  <c r="BJ339" i="89"/>
  <c r="BJ347" i="89"/>
  <c r="BJ355" i="89"/>
  <c r="BJ363" i="89"/>
  <c r="BJ371" i="89"/>
  <c r="BJ379" i="89"/>
  <c r="BJ387" i="89"/>
  <c r="BJ395" i="89"/>
  <c r="BJ403" i="89"/>
  <c r="BJ411" i="89"/>
  <c r="BJ419" i="89"/>
  <c r="BJ427" i="89"/>
  <c r="BJ435" i="89"/>
  <c r="BJ443" i="89"/>
  <c r="BJ451" i="89"/>
  <c r="BJ459" i="89"/>
  <c r="BJ463" i="89"/>
  <c r="BJ467" i="89"/>
  <c r="BJ475" i="89"/>
  <c r="BJ483" i="89"/>
  <c r="BJ490" i="89"/>
  <c r="BJ498" i="89"/>
  <c r="BJ506" i="89"/>
  <c r="BJ514" i="89"/>
  <c r="BJ522" i="89"/>
  <c r="BJ530" i="89"/>
  <c r="BJ538" i="89"/>
  <c r="BJ546" i="89"/>
  <c r="BJ554" i="89"/>
  <c r="BJ562" i="89"/>
  <c r="BJ570" i="89"/>
  <c r="BJ578" i="89"/>
  <c r="BJ586" i="89"/>
  <c r="BJ594" i="89"/>
  <c r="BJ602" i="89"/>
  <c r="BJ610" i="89"/>
  <c r="BJ618" i="89"/>
  <c r="BJ626" i="89"/>
  <c r="BJ634" i="89"/>
  <c r="BJ642" i="89"/>
  <c r="BJ650" i="89"/>
  <c r="BJ658" i="89"/>
  <c r="BJ666" i="89"/>
  <c r="BJ674" i="89"/>
  <c r="BJ682" i="89"/>
  <c r="BJ690" i="89"/>
  <c r="BJ698" i="89"/>
  <c r="BJ706" i="89"/>
  <c r="BJ714" i="89"/>
  <c r="BJ722" i="89"/>
  <c r="BJ730" i="89"/>
  <c r="BJ738" i="89"/>
  <c r="BJ746" i="89"/>
  <c r="BJ754" i="89"/>
  <c r="BJ762" i="89"/>
  <c r="BJ770" i="89"/>
  <c r="BJ778" i="89"/>
  <c r="BJ786" i="89"/>
  <c r="BJ794" i="89"/>
  <c r="BJ802" i="89"/>
  <c r="BJ810" i="89"/>
  <c r="BJ818" i="89"/>
  <c r="BJ826" i="89"/>
  <c r="BJ834" i="89"/>
  <c r="BJ842" i="89"/>
  <c r="BJ850" i="89"/>
  <c r="BJ858" i="89"/>
  <c r="BJ866" i="89"/>
  <c r="BJ874" i="89"/>
  <c r="BJ882" i="89"/>
  <c r="BJ890" i="89"/>
  <c r="BJ898" i="89"/>
  <c r="BJ906" i="89"/>
  <c r="BJ914" i="89"/>
  <c r="BJ922" i="89"/>
  <c r="BJ930" i="89"/>
  <c r="BJ938" i="89"/>
  <c r="BJ946" i="89"/>
  <c r="BJ954" i="89"/>
  <c r="BJ962" i="89"/>
  <c r="BJ970" i="89"/>
  <c r="BJ978" i="89"/>
  <c r="BJ986" i="89"/>
  <c r="BJ994" i="89"/>
  <c r="BJ1002" i="89"/>
  <c r="BJ1010" i="89"/>
  <c r="BJ1018" i="89"/>
  <c r="BJ1026" i="89"/>
  <c r="BJ1034" i="89"/>
  <c r="BJ1042" i="89"/>
  <c r="BJ1050" i="89"/>
  <c r="BJ1058" i="89"/>
  <c r="BJ1066" i="89"/>
  <c r="BJ1074" i="89"/>
  <c r="BJ1082" i="89"/>
  <c r="BJ1090" i="89"/>
  <c r="BJ1098" i="89"/>
  <c r="BJ1106" i="89"/>
  <c r="BJ1114" i="89"/>
  <c r="BJ1122" i="89"/>
  <c r="BJ1130" i="89"/>
  <c r="BJ1138" i="89"/>
  <c r="BJ1146" i="89"/>
  <c r="BJ1154" i="89"/>
  <c r="BJ1162" i="89"/>
  <c r="BJ1170" i="89"/>
  <c r="BJ1178" i="89"/>
  <c r="BJ1186" i="89"/>
  <c r="BJ1194" i="89"/>
  <c r="BJ1202" i="89"/>
  <c r="BJ1210" i="89"/>
  <c r="BJ1218" i="89"/>
  <c r="BJ1226" i="89"/>
  <c r="BJ1234" i="89"/>
  <c r="BJ1242" i="89"/>
  <c r="BJ1250" i="89"/>
  <c r="BJ1258" i="89"/>
  <c r="BJ1266" i="89"/>
  <c r="BJ1274" i="89"/>
  <c r="BJ1282" i="89"/>
  <c r="BJ1298" i="89"/>
  <c r="BJ1314" i="89"/>
  <c r="BJ1330" i="89"/>
  <c r="BJ1346" i="89"/>
  <c r="BJ1362" i="89"/>
  <c r="BJ1378" i="89"/>
  <c r="BJ1394" i="89"/>
  <c r="BJ1410" i="89"/>
  <c r="BJ1426" i="89"/>
  <c r="BJ1442" i="89"/>
  <c r="BJ1458" i="89"/>
  <c r="BJ1474" i="89"/>
  <c r="BJ1490" i="89"/>
  <c r="BJ477" i="89"/>
  <c r="BJ485" i="89"/>
  <c r="BJ493" i="89"/>
  <c r="BJ501" i="89"/>
  <c r="BJ517" i="89"/>
  <c r="BJ525" i="89"/>
  <c r="BJ533" i="89"/>
  <c r="BJ549" i="89"/>
  <c r="BJ557" i="89"/>
  <c r="BJ565" i="89"/>
  <c r="BJ581" i="89"/>
  <c r="BJ589" i="89"/>
  <c r="BJ593" i="89"/>
  <c r="BJ597" i="89"/>
  <c r="BJ613" i="89"/>
  <c r="BJ629" i="89"/>
  <c r="BJ645" i="89"/>
  <c r="BJ653" i="89"/>
  <c r="BJ661" i="89"/>
  <c r="BJ677" i="89"/>
  <c r="BJ685" i="89"/>
  <c r="BJ693" i="89"/>
  <c r="BJ709" i="89"/>
  <c r="BJ717" i="89"/>
  <c r="BJ725" i="89"/>
  <c r="BJ741" i="89"/>
  <c r="BJ757" i="89"/>
  <c r="BJ773" i="89"/>
  <c r="BJ781" i="89"/>
  <c r="BJ789" i="89"/>
  <c r="BJ805" i="89"/>
  <c r="BJ813" i="89"/>
  <c r="BJ821" i="89"/>
  <c r="BJ837" i="89"/>
  <c r="BJ845" i="89"/>
  <c r="BJ853" i="89"/>
  <c r="BJ869" i="89"/>
  <c r="BJ885" i="89"/>
  <c r="BJ901" i="89"/>
  <c r="BJ909" i="89"/>
  <c r="BJ917" i="89"/>
  <c r="BJ933" i="89"/>
  <c r="BJ941" i="89"/>
  <c r="BJ949" i="89"/>
  <c r="BJ965" i="89"/>
  <c r="BJ973" i="89"/>
  <c r="BJ981" i="89"/>
  <c r="BJ997" i="89"/>
  <c r="BJ1013" i="89"/>
  <c r="BJ1029" i="89"/>
  <c r="BJ1033" i="89"/>
  <c r="BJ1037" i="89"/>
  <c r="BJ1045" i="89"/>
  <c r="BJ1061" i="89"/>
  <c r="BJ1069" i="89"/>
  <c r="BJ1077" i="89"/>
  <c r="BJ1093" i="89"/>
  <c r="BJ1109" i="89"/>
  <c r="BJ1125" i="89"/>
  <c r="BJ1133" i="89"/>
  <c r="BJ1141" i="89"/>
  <c r="BJ1157" i="89"/>
  <c r="BJ1173" i="89"/>
  <c r="BJ1189" i="89"/>
  <c r="BJ1197" i="89"/>
  <c r="BJ1205" i="89"/>
  <c r="BJ1221" i="89"/>
  <c r="BJ1237" i="89"/>
  <c r="BJ1253" i="89"/>
  <c r="BJ1261" i="89"/>
  <c r="BJ1269" i="89"/>
  <c r="BJ1285" i="89"/>
  <c r="BJ1293" i="89"/>
  <c r="BJ1301" i="89"/>
  <c r="BJ1317" i="89"/>
  <c r="BJ1325" i="89"/>
  <c r="BJ1333" i="89"/>
  <c r="BJ1349" i="89"/>
  <c r="BJ1365" i="89"/>
  <c r="BJ1381" i="89"/>
  <c r="BJ1389" i="89"/>
  <c r="BJ1397" i="89"/>
  <c r="BJ600" i="89"/>
  <c r="BJ608" i="89"/>
  <c r="BJ616" i="89"/>
  <c r="BJ632" i="89"/>
  <c r="BJ648" i="89"/>
  <c r="BJ660" i="89"/>
  <c r="BJ664" i="89"/>
  <c r="BJ672" i="89"/>
  <c r="BJ680" i="89"/>
  <c r="BJ696" i="89"/>
  <c r="BJ704" i="89"/>
  <c r="BJ712" i="89"/>
  <c r="BJ720" i="89"/>
  <c r="BJ728" i="89"/>
  <c r="BJ736" i="89"/>
  <c r="BJ744" i="89"/>
  <c r="BJ760" i="89"/>
  <c r="BJ776" i="89"/>
  <c r="BJ792" i="89"/>
  <c r="BJ800" i="89"/>
  <c r="BJ808" i="89"/>
  <c r="BJ824" i="89"/>
  <c r="BJ832" i="89"/>
  <c r="BJ840" i="89"/>
  <c r="BJ848" i="89"/>
  <c r="BJ856" i="89"/>
  <c r="BJ864" i="89"/>
  <c r="BJ872" i="89"/>
  <c r="BJ888" i="89"/>
  <c r="BJ904" i="89"/>
  <c r="BJ920" i="89"/>
  <c r="BJ928" i="89"/>
  <c r="BJ936" i="89"/>
  <c r="BJ952" i="89"/>
  <c r="BJ960" i="89"/>
  <c r="BJ968" i="89"/>
  <c r="BJ976" i="89"/>
  <c r="BJ984" i="89"/>
  <c r="BJ992" i="89"/>
  <c r="BJ1000" i="89"/>
  <c r="BJ1016" i="89"/>
  <c r="BJ1032" i="89"/>
  <c r="BJ1048" i="89"/>
  <c r="BJ1056" i="89"/>
  <c r="BJ1064" i="89"/>
  <c r="BJ1080" i="89"/>
  <c r="BJ1088" i="89"/>
  <c r="BJ1096" i="89"/>
  <c r="BJ1104" i="89"/>
  <c r="BJ1112" i="89"/>
  <c r="BJ1120" i="89"/>
  <c r="BJ1128" i="89"/>
  <c r="BJ1144" i="89"/>
  <c r="BJ1160" i="89"/>
  <c r="BJ1176" i="89"/>
  <c r="BJ1184" i="89"/>
  <c r="BJ1192" i="89"/>
  <c r="BJ1208" i="89"/>
  <c r="BJ1216" i="89"/>
  <c r="BJ1224" i="89"/>
  <c r="BJ1232" i="89"/>
  <c r="BJ1240" i="89"/>
  <c r="BJ1248" i="89"/>
  <c r="BJ1256" i="89"/>
  <c r="BJ1272" i="89"/>
  <c r="BJ1288" i="89"/>
  <c r="BJ1304" i="89"/>
  <c r="BJ1312" i="89"/>
  <c r="BJ499" i="89"/>
  <c r="BJ515" i="89"/>
  <c r="BJ531" i="89"/>
  <c r="BJ547" i="89"/>
  <c r="BJ563" i="89"/>
  <c r="BJ579" i="89"/>
  <c r="BJ595" i="89"/>
  <c r="BJ611" i="89"/>
  <c r="BJ627" i="89"/>
  <c r="BJ643" i="89"/>
  <c r="BJ659" i="89"/>
  <c r="BJ675" i="89"/>
  <c r="BJ691" i="89"/>
  <c r="BJ707" i="89"/>
  <c r="BJ723" i="89"/>
  <c r="BJ739" i="89"/>
  <c r="BJ755" i="89"/>
  <c r="BJ771" i="89"/>
  <c r="BJ787" i="89"/>
  <c r="BJ803" i="89"/>
  <c r="BJ815" i="89"/>
  <c r="BJ819" i="89"/>
  <c r="BJ835" i="89"/>
  <c r="BJ851" i="89"/>
  <c r="BJ867" i="89"/>
  <c r="BJ883" i="89"/>
  <c r="BJ899" i="89"/>
  <c r="BJ915" i="89"/>
  <c r="BJ931" i="89"/>
  <c r="BJ947" i="89"/>
  <c r="BJ963" i="89"/>
  <c r="BJ979" i="89"/>
  <c r="BJ995" i="89"/>
  <c r="BJ1011" i="89"/>
  <c r="BJ1027" i="89"/>
  <c r="BJ1043" i="89"/>
  <c r="BJ1059" i="89"/>
  <c r="BJ1075" i="89"/>
  <c r="BJ1091" i="89"/>
  <c r="BJ1107" i="89"/>
  <c r="BJ1123" i="89"/>
  <c r="BJ1139" i="89"/>
  <c r="BJ1155" i="89"/>
  <c r="BJ1171" i="89"/>
  <c r="BJ1187" i="89"/>
  <c r="BJ1203" i="89"/>
  <c r="BJ1219" i="89"/>
  <c r="BJ1235" i="89"/>
  <c r="BJ1251" i="89"/>
  <c r="BJ1263" i="89"/>
  <c r="BJ1267" i="89"/>
  <c r="BJ1283" i="89"/>
  <c r="BJ1299" i="89"/>
  <c r="BJ1315" i="89"/>
  <c r="BJ1331" i="89"/>
  <c r="BJ1347" i="89"/>
  <c r="BJ1363" i="89"/>
  <c r="BJ1379" i="89"/>
  <c r="BJ1395" i="89"/>
  <c r="BJ1411" i="89"/>
  <c r="BJ1427" i="89"/>
  <c r="BJ1443" i="89"/>
  <c r="BJ1459" i="89"/>
  <c r="BJ1475" i="89"/>
  <c r="BJ1491" i="89"/>
  <c r="U96" i="12"/>
  <c r="U63" i="12" s="1"/>
  <c r="U72" i="12" s="1"/>
  <c r="U26" i="12" s="1"/>
  <c r="ES26" i="84" s="1"/>
  <c r="BJ1401" i="89"/>
  <c r="BJ1405" i="89"/>
  <c r="BJ1413" i="89"/>
  <c r="BJ1421" i="89"/>
  <c r="BJ1429" i="89"/>
  <c r="BJ1437" i="89"/>
  <c r="BJ1445" i="89"/>
  <c r="BJ1461" i="89"/>
  <c r="BJ1469" i="89"/>
  <c r="BJ1477" i="89"/>
  <c r="BJ1485" i="89"/>
  <c r="BJ1493" i="89"/>
  <c r="BJ1320" i="89"/>
  <c r="BJ1336" i="89"/>
  <c r="BJ1352" i="89"/>
  <c r="BJ1368" i="89"/>
  <c r="BJ1384" i="89"/>
  <c r="BJ1400" i="89"/>
  <c r="BJ1416" i="89"/>
  <c r="BJ1432" i="89"/>
  <c r="BJ1448" i="89"/>
  <c r="BJ1464" i="89"/>
  <c r="BJ1480"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MF49" i="84" s="1"/>
  <c r="F49" i="16"/>
  <c r="MC49" i="84" s="1"/>
  <c r="E49" i="16"/>
  <c r="MB49" i="84" s="1"/>
  <c r="T11" i="89" l="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T13" i="89" s="1"/>
  <c r="FQ13" i="84" s="1"/>
  <c r="EQ14" i="84"/>
  <c r="S15" i="12"/>
  <c r="T33" i="89"/>
  <c r="FQ11" i="84"/>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W495" i="89" s="1"/>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W1380" i="89" s="1"/>
  <c r="BQ1364" i="89"/>
  <c r="BS1364" i="89"/>
  <c r="BU1364" i="89"/>
  <c r="BQ1348" i="89"/>
  <c r="BS1348" i="89"/>
  <c r="BU1348" i="89"/>
  <c r="BQ1332" i="89"/>
  <c r="BS1332" i="89"/>
  <c r="BU1332" i="89"/>
  <c r="BQ1316" i="89"/>
  <c r="BS1316" i="89"/>
  <c r="BU1316" i="89"/>
  <c r="BQ1300" i="89"/>
  <c r="BS1300" i="89"/>
  <c r="BU1300" i="89"/>
  <c r="BQ1284" i="89"/>
  <c r="BW1284" i="89" s="1"/>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W1156" i="89" s="1"/>
  <c r="BS1156" i="89"/>
  <c r="BU1156" i="89"/>
  <c r="BQ1140" i="89"/>
  <c r="BS1140" i="89"/>
  <c r="BU1140" i="89"/>
  <c r="BQ1124" i="89"/>
  <c r="BS1124" i="89"/>
  <c r="BU1124" i="89"/>
  <c r="BW1124" i="89" s="1"/>
  <c r="BQ1108" i="89"/>
  <c r="BS1108" i="89"/>
  <c r="BU1108" i="89"/>
  <c r="BQ1092" i="89"/>
  <c r="BS1092" i="89"/>
  <c r="BU1092" i="89"/>
  <c r="BQ1076" i="89"/>
  <c r="BS1076" i="89"/>
  <c r="BU1076" i="89"/>
  <c r="BQ1060" i="89"/>
  <c r="BS1060" i="89"/>
  <c r="BU1060" i="89"/>
  <c r="BQ1044" i="89"/>
  <c r="BS1044" i="89"/>
  <c r="BU1044" i="89"/>
  <c r="BQ1028" i="89"/>
  <c r="BW1028" i="89" s="1"/>
  <c r="BS1028" i="89"/>
  <c r="BU1028" i="89"/>
  <c r="BQ1012" i="89"/>
  <c r="BS1012" i="89"/>
  <c r="BU1012" i="89"/>
  <c r="BQ996" i="89"/>
  <c r="BS996" i="89"/>
  <c r="BU996" i="89"/>
  <c r="BW996" i="89" s="1"/>
  <c r="BQ980" i="89"/>
  <c r="BS980" i="89"/>
  <c r="BU980" i="89"/>
  <c r="BQ964" i="89"/>
  <c r="BS964" i="89"/>
  <c r="BU964" i="89"/>
  <c r="BQ948" i="89"/>
  <c r="BS948" i="89"/>
  <c r="BU948" i="89"/>
  <c r="BQ932" i="89"/>
  <c r="BS932" i="89"/>
  <c r="BU932" i="89"/>
  <c r="BQ916" i="89"/>
  <c r="BS916" i="89"/>
  <c r="BU916" i="89"/>
  <c r="BQ900" i="89"/>
  <c r="BW900" i="89" s="1"/>
  <c r="BS900" i="89"/>
  <c r="BU900" i="89"/>
  <c r="BQ884" i="89"/>
  <c r="BS884" i="89"/>
  <c r="BU884" i="89"/>
  <c r="BQ868" i="89"/>
  <c r="BS868" i="89"/>
  <c r="BU868" i="89"/>
  <c r="BW868" i="89" s="1"/>
  <c r="BQ852" i="89"/>
  <c r="BS852" i="89"/>
  <c r="BU852" i="89"/>
  <c r="BQ836" i="89"/>
  <c r="BS836" i="89"/>
  <c r="BU836" i="89"/>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W1401" i="89" s="1"/>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W1416" i="89" s="1"/>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W1192" i="89" s="1"/>
  <c r="BS1192" i="89"/>
  <c r="BU1192" i="89"/>
  <c r="BQ1176" i="89"/>
  <c r="BS1176" i="89"/>
  <c r="BU1176" i="89"/>
  <c r="BQ1160" i="89"/>
  <c r="BS1160" i="89"/>
  <c r="BU1160" i="89"/>
  <c r="BW1160" i="89" s="1"/>
  <c r="BQ1144" i="89"/>
  <c r="BS1144" i="89"/>
  <c r="BU1144" i="89"/>
  <c r="BQ1128" i="89"/>
  <c r="BS1128" i="89"/>
  <c r="BU1128" i="89"/>
  <c r="BQ1112" i="89"/>
  <c r="BS1112" i="89"/>
  <c r="BU1112" i="89"/>
  <c r="BQ1096" i="89"/>
  <c r="BS1096" i="89"/>
  <c r="BU1096" i="89"/>
  <c r="BQ1080" i="89"/>
  <c r="BS1080" i="89"/>
  <c r="BU1080" i="89"/>
  <c r="BQ1064" i="89"/>
  <c r="BW1064" i="89" s="1"/>
  <c r="BS1064" i="89"/>
  <c r="BU1064" i="89"/>
  <c r="BQ1048" i="89"/>
  <c r="BS1048" i="89"/>
  <c r="BU1048" i="89"/>
  <c r="BQ1032" i="89"/>
  <c r="BS1032" i="89"/>
  <c r="BU1032" i="89"/>
  <c r="BW1032" i="89" s="1"/>
  <c r="BQ1016" i="89"/>
  <c r="BS1016" i="89"/>
  <c r="BU1016" i="89"/>
  <c r="BQ1000" i="89"/>
  <c r="BS1000" i="89"/>
  <c r="BU1000" i="89"/>
  <c r="BQ984" i="89"/>
  <c r="BS984" i="89"/>
  <c r="BU984" i="89"/>
  <c r="BQ968" i="89"/>
  <c r="BS968" i="89"/>
  <c r="BU968" i="89"/>
  <c r="BQ952" i="89"/>
  <c r="BS952" i="89"/>
  <c r="BU952" i="89"/>
  <c r="BQ936" i="89"/>
  <c r="BW936" i="89" s="1"/>
  <c r="BS936" i="89"/>
  <c r="BU936" i="89"/>
  <c r="BQ920" i="89"/>
  <c r="BS920" i="89"/>
  <c r="BU920" i="89"/>
  <c r="BQ904" i="89"/>
  <c r="BS904" i="89"/>
  <c r="BU904" i="89"/>
  <c r="BW904" i="89" s="1"/>
  <c r="BQ888" i="89"/>
  <c r="BS888" i="89"/>
  <c r="BU888" i="89"/>
  <c r="BQ872" i="89"/>
  <c r="BS872" i="89"/>
  <c r="BU872" i="89"/>
  <c r="BQ856" i="89"/>
  <c r="BS856" i="89"/>
  <c r="BU856" i="89"/>
  <c r="BQ840" i="89"/>
  <c r="BS840" i="89"/>
  <c r="BU840" i="89"/>
  <c r="BQ824" i="89"/>
  <c r="BS824" i="89"/>
  <c r="BU824" i="89"/>
  <c r="BQ808" i="89"/>
  <c r="BW808" i="89" s="1"/>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W680" i="89" s="1"/>
  <c r="BS680" i="89"/>
  <c r="BU680" i="89"/>
  <c r="BQ664" i="89"/>
  <c r="BS664" i="89"/>
  <c r="BU664" i="89"/>
  <c r="BQ648" i="89"/>
  <c r="BS648" i="89"/>
  <c r="BU648" i="89"/>
  <c r="BW648" i="89" s="1"/>
  <c r="BQ632" i="89"/>
  <c r="BS632" i="89"/>
  <c r="BU632" i="89"/>
  <c r="BQ616" i="89"/>
  <c r="BS616" i="89"/>
  <c r="BU616" i="89"/>
  <c r="BQ600" i="89"/>
  <c r="BS600" i="89"/>
  <c r="BU600" i="89"/>
  <c r="BQ584" i="89"/>
  <c r="BS584" i="89"/>
  <c r="BU584" i="89"/>
  <c r="BQ568" i="89"/>
  <c r="BS568" i="89"/>
  <c r="BU568" i="89"/>
  <c r="BQ552" i="89"/>
  <c r="BW552" i="89" s="1"/>
  <c r="BS552" i="89"/>
  <c r="BU552" i="89"/>
  <c r="BQ536" i="89"/>
  <c r="BS536" i="89"/>
  <c r="BU536" i="89"/>
  <c r="BQ520" i="89"/>
  <c r="BS520" i="89"/>
  <c r="BU520" i="89"/>
  <c r="BW520" i="89" s="1"/>
  <c r="BQ504" i="89"/>
  <c r="BS504" i="89"/>
  <c r="BU504" i="89"/>
  <c r="BS488" i="89"/>
  <c r="BU488" i="89"/>
  <c r="BQ1493" i="89"/>
  <c r="BS1493" i="89"/>
  <c r="BU1493" i="89"/>
  <c r="BQ1477" i="89"/>
  <c r="BS1477" i="89"/>
  <c r="BU1477" i="89"/>
  <c r="BQ1461" i="89"/>
  <c r="BS1461" i="89"/>
  <c r="BU1461" i="89"/>
  <c r="BQ1445" i="89"/>
  <c r="BS1445" i="89"/>
  <c r="BW1445" i="89" s="1"/>
  <c r="BU1445" i="89"/>
  <c r="BQ1429" i="89"/>
  <c r="BS1429" i="89"/>
  <c r="BU1429" i="89"/>
  <c r="BQ1413" i="89"/>
  <c r="BS1413" i="89"/>
  <c r="BU1413" i="89"/>
  <c r="BQ1397" i="89"/>
  <c r="BS1397" i="89"/>
  <c r="BU1397" i="89"/>
  <c r="BQ1381" i="89"/>
  <c r="BS1381" i="89"/>
  <c r="BU1381" i="89"/>
  <c r="BQ1365" i="89"/>
  <c r="BS1365" i="89"/>
  <c r="BU1365" i="89"/>
  <c r="BW1365" i="89" s="1"/>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W1237" i="89" s="1"/>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W1109" i="89" s="1"/>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W981" i="89" s="1"/>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W853" i="89" s="1"/>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W725" i="89" s="1"/>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W597" i="89" s="1"/>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W1442" i="89" s="1"/>
  <c r="BQ1426" i="89"/>
  <c r="BS1426" i="89"/>
  <c r="BU1426" i="89"/>
  <c r="BQ1410" i="89"/>
  <c r="BS1410" i="89"/>
  <c r="BU1410" i="89"/>
  <c r="BQ1394" i="89"/>
  <c r="BS1394" i="89"/>
  <c r="BU1394" i="89"/>
  <c r="BQ1378" i="89"/>
  <c r="BS1378" i="89"/>
  <c r="BU1378" i="89"/>
  <c r="BQ1362" i="89"/>
  <c r="BS1362" i="89"/>
  <c r="BU1362" i="89"/>
  <c r="BQ1346" i="89"/>
  <c r="BS1346" i="89"/>
  <c r="BU1346" i="89"/>
  <c r="BQ1330" i="89"/>
  <c r="BS1330" i="89"/>
  <c r="BU1330" i="89"/>
  <c r="BQ1314" i="89"/>
  <c r="BS1314" i="89"/>
  <c r="BU1314" i="89"/>
  <c r="BW1314" i="89" s="1"/>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W1058" i="89" s="1"/>
  <c r="BQ1042" i="89"/>
  <c r="BS1042" i="89"/>
  <c r="BU1042" i="89"/>
  <c r="BQ1026" i="89"/>
  <c r="BS1026" i="89"/>
  <c r="BU1026" i="89"/>
  <c r="BQ1010" i="89"/>
  <c r="BS1010" i="89"/>
  <c r="BU1010" i="89"/>
  <c r="BQ994" i="89"/>
  <c r="BS994" i="89"/>
  <c r="BU994" i="89"/>
  <c r="BQ978" i="89"/>
  <c r="BS978" i="89"/>
  <c r="BU978" i="89"/>
  <c r="BQ962" i="89"/>
  <c r="BS962" i="89"/>
  <c r="BU962" i="89"/>
  <c r="BQ946" i="89"/>
  <c r="BS946" i="89"/>
  <c r="BU946" i="89"/>
  <c r="BQ930" i="89"/>
  <c r="BS930" i="89"/>
  <c r="BU930" i="89"/>
  <c r="BW930" i="89" s="1"/>
  <c r="BQ914" i="89"/>
  <c r="BS914" i="89"/>
  <c r="BU914" i="89"/>
  <c r="BQ898" i="89"/>
  <c r="BS898" i="89"/>
  <c r="BU898" i="89"/>
  <c r="BQ882" i="89"/>
  <c r="BS882" i="89"/>
  <c r="BU882" i="89"/>
  <c r="BQ866" i="89"/>
  <c r="BS866" i="89"/>
  <c r="BU866" i="89"/>
  <c r="BQ850" i="89"/>
  <c r="BS850" i="89"/>
  <c r="BU850" i="89"/>
  <c r="BQ834" i="89"/>
  <c r="BS834" i="89"/>
  <c r="BU834" i="89"/>
  <c r="BQ818" i="89"/>
  <c r="BS818" i="89"/>
  <c r="BU818" i="89"/>
  <c r="BQ802" i="89"/>
  <c r="BS802" i="89"/>
  <c r="BU802" i="89"/>
  <c r="BW802" i="89" s="1"/>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W674" i="89" s="1"/>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W724" i="89" s="1"/>
  <c r="BQ708" i="89"/>
  <c r="BS708" i="89"/>
  <c r="BU708" i="89"/>
  <c r="BQ692" i="89"/>
  <c r="BS692" i="89"/>
  <c r="BU692" i="89"/>
  <c r="BQ676" i="89"/>
  <c r="BS676" i="89"/>
  <c r="BW676" i="89" s="1"/>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W1313" i="89" s="1"/>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W1185" i="89" s="1"/>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W929" i="89" s="1"/>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W801" i="89" s="1"/>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W513" i="89" s="1"/>
  <c r="BQ497" i="89"/>
  <c r="BQ45" i="89"/>
  <c r="BQ1486" i="89"/>
  <c r="BQ1470" i="89"/>
  <c r="BQ1454" i="89"/>
  <c r="BQ1438" i="89"/>
  <c r="BQ1422" i="89"/>
  <c r="BQ1406" i="89"/>
  <c r="BW1406" i="89" s="1"/>
  <c r="BQ1390" i="89"/>
  <c r="BQ1374" i="89"/>
  <c r="BQ1358" i="89"/>
  <c r="BQ1342" i="89"/>
  <c r="BQ1326" i="89"/>
  <c r="BQ1310" i="89"/>
  <c r="BQ1294" i="89"/>
  <c r="BQ1278" i="89"/>
  <c r="BW1278" i="89" s="1"/>
  <c r="BQ1262" i="89"/>
  <c r="BQ1246" i="89"/>
  <c r="BQ1230" i="89"/>
  <c r="BQ1214" i="89"/>
  <c r="BQ1198" i="89"/>
  <c r="BQ1182" i="89"/>
  <c r="BQ1166" i="89"/>
  <c r="BQ1150" i="89"/>
  <c r="BW1150" i="89" s="1"/>
  <c r="BQ1134" i="89"/>
  <c r="BQ1118" i="89"/>
  <c r="BQ1102" i="89"/>
  <c r="BQ1086" i="89"/>
  <c r="BQ1070" i="89"/>
  <c r="BQ1054" i="89"/>
  <c r="BQ1038" i="89"/>
  <c r="BQ1022" i="89"/>
  <c r="BW1022" i="89" s="1"/>
  <c r="BQ1006" i="89"/>
  <c r="BQ990" i="89"/>
  <c r="BQ974" i="89"/>
  <c r="BQ958" i="89"/>
  <c r="BQ942" i="89"/>
  <c r="BQ926" i="89"/>
  <c r="BQ910" i="89"/>
  <c r="BQ894" i="89"/>
  <c r="BW894" i="89" s="1"/>
  <c r="BQ878" i="89"/>
  <c r="BQ862" i="89"/>
  <c r="BQ846" i="89"/>
  <c r="BQ830" i="89"/>
  <c r="BQ814" i="89"/>
  <c r="BQ798" i="89"/>
  <c r="BQ782" i="89"/>
  <c r="BQ766" i="89"/>
  <c r="BW766" i="89" s="1"/>
  <c r="BQ750" i="89"/>
  <c r="BQ734" i="89"/>
  <c r="BQ718" i="89"/>
  <c r="BQ702" i="89"/>
  <c r="BQ686" i="89"/>
  <c r="BQ670" i="89"/>
  <c r="BQ654" i="89"/>
  <c r="BQ638" i="89"/>
  <c r="BW638" i="89" s="1"/>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W1029"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W842" i="89" s="1"/>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W219" i="89" s="1"/>
  <c r="BQ203" i="89"/>
  <c r="BQ187" i="89"/>
  <c r="BQ171" i="89"/>
  <c r="BQ155" i="89"/>
  <c r="BQ139" i="89"/>
  <c r="BQ123" i="89"/>
  <c r="BQ107" i="89"/>
  <c r="BQ91" i="89"/>
  <c r="BW91" i="89" s="1"/>
  <c r="BQ75" i="89"/>
  <c r="BQ59" i="89"/>
  <c r="BQ476" i="89"/>
  <c r="BQ460" i="89"/>
  <c r="BQ444" i="89"/>
  <c r="BQ428" i="89"/>
  <c r="BQ412" i="89"/>
  <c r="BQ396" i="89"/>
  <c r="BW396" i="89" s="1"/>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W1172" i="89"/>
  <c r="BW788" i="89"/>
  <c r="BW559"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Q1347" i="89"/>
  <c r="BQ1331" i="89"/>
  <c r="BQ1315" i="89"/>
  <c r="BQ1299" i="89"/>
  <c r="BQ1283" i="89"/>
  <c r="BQ1267" i="89"/>
  <c r="BQ1251" i="89"/>
  <c r="BQ1235" i="89"/>
  <c r="BQ1219" i="89"/>
  <c r="BQ1203" i="89"/>
  <c r="BQ1187" i="89"/>
  <c r="BQ1171" i="89"/>
  <c r="BQ1155" i="89"/>
  <c r="BQ1139" i="89"/>
  <c r="BQ1123" i="89"/>
  <c r="BQ1107" i="89"/>
  <c r="BQ1091" i="89"/>
  <c r="BQ1075" i="89"/>
  <c r="BQ1059" i="89"/>
  <c r="BQ1043" i="89"/>
  <c r="BQ1027" i="89"/>
  <c r="BQ1011" i="89"/>
  <c r="BQ995" i="89"/>
  <c r="BQ979" i="89"/>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W355" i="89" s="1"/>
  <c r="BQ339" i="89"/>
  <c r="BQ323" i="89"/>
  <c r="BQ307" i="89"/>
  <c r="BQ291" i="89"/>
  <c r="BQ275" i="89"/>
  <c r="BQ259" i="89"/>
  <c r="BQ243" i="89"/>
  <c r="BQ227" i="89"/>
  <c r="BW227" i="89" s="1"/>
  <c r="BQ211" i="89"/>
  <c r="BQ195" i="89"/>
  <c r="BQ179" i="89"/>
  <c r="BQ163" i="89"/>
  <c r="BQ147" i="89"/>
  <c r="BQ131" i="89"/>
  <c r="BQ115" i="89"/>
  <c r="BQ99" i="89"/>
  <c r="BW99" i="89" s="1"/>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W1412" i="89"/>
  <c r="BW721" i="89"/>
  <c r="BW1428" i="89"/>
  <c r="BW1252" i="89"/>
  <c r="BW644"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W1065" i="89" s="1"/>
  <c r="BJ553" i="89"/>
  <c r="BW553" i="89" s="1"/>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W1288" i="89"/>
  <c r="BW776" i="89"/>
  <c r="BW568" i="89"/>
  <c r="BW1362" i="89"/>
  <c r="BW1363" i="89"/>
  <c r="BW1235" i="89"/>
  <c r="BW1107" i="89"/>
  <c r="BW979" i="89"/>
  <c r="BW952" i="89"/>
  <c r="BW824" i="89"/>
  <c r="BW419" i="89"/>
  <c r="BW978" i="89"/>
  <c r="BW85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1161" i="89" l="1"/>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MP53" i="84" s="1"/>
  <c r="F53" i="60"/>
  <c r="MM53" i="84" s="1"/>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P7" i="60"/>
  <c r="P5" i="60"/>
  <c r="A1" i="60"/>
  <c r="MH1" i="84" s="1"/>
  <c r="I215" i="16"/>
  <c r="G215" i="16"/>
  <c r="MD215" i="84" s="1"/>
  <c r="I192" i="16"/>
  <c r="MF192" i="84" s="1"/>
  <c r="I182" i="16"/>
  <c r="G182" i="16"/>
  <c r="MD182" i="84" s="1"/>
  <c r="I170" i="16"/>
  <c r="MF170" i="84" s="1"/>
  <c r="I147" i="16"/>
  <c r="MF147" i="84" s="1"/>
  <c r="G147" i="16"/>
  <c r="MD147" i="84" s="1"/>
  <c r="I119" i="16"/>
  <c r="F119" i="16"/>
  <c r="E119" i="16"/>
  <c r="MB119" i="84" s="1"/>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F63" i="16"/>
  <c r="MC63" i="84" s="1"/>
  <c r="E63" i="16"/>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R34" i="16"/>
  <c r="R33" i="16"/>
  <c r="D31" i="16"/>
  <c r="MA31" i="84" s="1"/>
  <c r="G29" i="16"/>
  <c r="MD29" i="84" s="1"/>
  <c r="G28" i="16"/>
  <c r="MD28" i="84" s="1"/>
  <c r="R28" i="16"/>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I22" i="68"/>
  <c r="LT22" i="84" s="1"/>
  <c r="H22" i="68"/>
  <c r="LS22" i="84" s="1"/>
  <c r="G22" i="68"/>
  <c r="LR22" i="84" s="1"/>
  <c r="J21" i="68"/>
  <c r="LU21" i="84" s="1"/>
  <c r="I21" i="68"/>
  <c r="LT21" i="84" s="1"/>
  <c r="H21" i="68"/>
  <c r="LS21" i="84" s="1"/>
  <c r="G21" i="68"/>
  <c r="LR21" i="84" s="1"/>
  <c r="J20" i="68"/>
  <c r="LU20" i="84" s="1"/>
  <c r="I20" i="68"/>
  <c r="LT20" i="84" s="1"/>
  <c r="H20" i="68"/>
  <c r="LS20" i="84" s="1"/>
  <c r="G20" i="68"/>
  <c r="LR20" i="84" s="1"/>
  <c r="J19" i="68"/>
  <c r="LU19" i="84" s="1"/>
  <c r="I19" i="68"/>
  <c r="LT19" i="84" s="1"/>
  <c r="H19" i="68"/>
  <c r="LS19" i="84" s="1"/>
  <c r="G19" i="68"/>
  <c r="LR19" i="84" s="1"/>
  <c r="J18" i="68"/>
  <c r="LU18" i="84" s="1"/>
  <c r="I18" i="68"/>
  <c r="LT18" i="84" s="1"/>
  <c r="H18" i="68"/>
  <c r="LS18" i="84" s="1"/>
  <c r="G18" i="68"/>
  <c r="LR18" i="84" s="1"/>
  <c r="J17" i="68"/>
  <c r="LU17" i="84" s="1"/>
  <c r="I17" i="68"/>
  <c r="LT17" i="84" s="1"/>
  <c r="H17" i="68"/>
  <c r="LS17" i="84" s="1"/>
  <c r="G17" i="68"/>
  <c r="LR17" i="84" s="1"/>
  <c r="J16" i="68"/>
  <c r="LU16" i="84" s="1"/>
  <c r="I16" i="68"/>
  <c r="LT16" i="84" s="1"/>
  <c r="H16" i="68"/>
  <c r="LS16" i="84" s="1"/>
  <c r="G16" i="68"/>
  <c r="LR16" i="84" s="1"/>
  <c r="J15" i="68"/>
  <c r="LU15" i="84" s="1"/>
  <c r="I15" i="68"/>
  <c r="LT15" i="84" s="1"/>
  <c r="H15" i="68"/>
  <c r="LS15" i="84" s="1"/>
  <c r="G15" i="68"/>
  <c r="LR15" i="84" s="1"/>
  <c r="J14" i="68"/>
  <c r="LU14" i="84" s="1"/>
  <c r="I14" i="68"/>
  <c r="LT14" i="84" s="1"/>
  <c r="H14" i="68"/>
  <c r="LS14" i="84" s="1"/>
  <c r="G14" i="68"/>
  <c r="LR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N21" i="78" s="1"/>
  <c r="M77" i="78"/>
  <c r="M32" i="78" s="1"/>
  <c r="M21" i="78" s="1"/>
  <c r="L77" i="78"/>
  <c r="L32" i="78" s="1"/>
  <c r="K77" i="78"/>
  <c r="K32" i="78" s="1"/>
  <c r="K21" i="78" s="1"/>
  <c r="J77" i="78"/>
  <c r="J32" i="78" s="1"/>
  <c r="J21" i="78" s="1"/>
  <c r="I77" i="78"/>
  <c r="I32" i="78" s="1"/>
  <c r="H77" i="78"/>
  <c r="H32" i="78" s="1"/>
  <c r="H21"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L21" i="78" l="1"/>
  <c r="I21" i="78"/>
  <c r="G21" i="78"/>
  <c r="O21" i="78"/>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31" i="84" s="1"/>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GJ75" i="84"/>
  <c r="F80" i="8"/>
  <c r="C80" i="8"/>
  <c r="C81" i="8" s="1"/>
  <c r="GH75" i="84"/>
  <c r="BZ105" i="84"/>
  <c r="C189" i="86"/>
  <c r="BZ189" i="84" s="1"/>
  <c r="P10" i="60"/>
  <c r="C23" i="83" s="1"/>
  <c r="D23" i="83"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5" i="83"/>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N13" i="6"/>
  <c r="O13"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N12" i="6"/>
  <c r="O12" i="6" s="1"/>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R12" i="16"/>
  <c r="G49" i="16"/>
  <c r="MD49" i="84" s="1"/>
  <c r="G63" i="16"/>
  <c r="MD63" i="84" s="1"/>
  <c r="G119" i="16"/>
  <c r="MD119" i="84" s="1"/>
  <c r="R10" i="16"/>
  <c r="R38" i="16"/>
  <c r="F1" i="60"/>
  <c r="MM1" i="84" s="1"/>
  <c r="P44" i="12"/>
  <c r="EN44" i="84" s="1"/>
  <c r="D54" i="3"/>
  <c r="HR54" i="84" s="1"/>
  <c r="LT3" i="84"/>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JG95" i="84" l="1"/>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32" i="10"/>
  <c r="KA78" i="84"/>
  <c r="H32" i="10"/>
  <c r="JZ78" i="84"/>
  <c r="G32" i="10"/>
  <c r="KB78" i="84"/>
  <c r="I32" i="10"/>
  <c r="KG78" i="84"/>
  <c r="N32" i="10"/>
  <c r="KC78" i="84"/>
  <c r="J32" i="10"/>
  <c r="JY78" i="84"/>
  <c r="F32" i="10"/>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H84" i="97"/>
  <c r="K281" i="94"/>
  <c r="BL21" i="84"/>
  <c r="H36" i="78"/>
  <c r="Q1698" i="94"/>
  <c r="N31" i="97"/>
  <c r="Q1640" i="94" s="1"/>
  <c r="K84" i="97"/>
  <c r="N281" i="94"/>
  <c r="BO21" i="84"/>
  <c r="K36" i="78"/>
  <c r="M1698" i="94"/>
  <c r="J31" i="97"/>
  <c r="M1640" i="94" s="1"/>
  <c r="M32" i="97"/>
  <c r="P1641" i="94" s="1"/>
  <c r="P1699" i="94"/>
  <c r="J84" i="97"/>
  <c r="M281" i="94"/>
  <c r="BN21" i="84"/>
  <c r="J36" i="78"/>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G84" i="97"/>
  <c r="J281" i="94"/>
  <c r="BK21" i="84"/>
  <c r="G36" i="78"/>
  <c r="M1699" i="94"/>
  <c r="J32" i="97"/>
  <c r="M1641" i="94" s="1"/>
  <c r="F31" i="97"/>
  <c r="I1640" i="94" s="1"/>
  <c r="I1698" i="94"/>
  <c r="F32" i="97"/>
  <c r="I1641" i="94" s="1"/>
  <c r="I1699" i="94"/>
  <c r="I84" i="97"/>
  <c r="L281" i="94"/>
  <c r="BM21" i="84"/>
  <c r="I36" i="78"/>
  <c r="E84" i="97"/>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H62" i="86"/>
  <c r="N4" i="6"/>
  <c r="O4" i="6" s="1"/>
  <c r="U53" i="5"/>
  <c r="Z5" i="5" s="1"/>
  <c r="AA5" i="5" s="1"/>
  <c r="U45" i="5"/>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G62"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F62" i="86"/>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BT35" i="84" l="1"/>
  <c r="F15" i="90"/>
  <c r="LJ15" i="84" s="1"/>
  <c r="BT76" i="84"/>
  <c r="F14" i="90"/>
  <c r="LJ14" i="84" s="1"/>
  <c r="BT80" i="84"/>
  <c r="F13" i="90"/>
  <c r="LJ13" i="84" s="1"/>
  <c r="F84" i="97"/>
  <c r="I281" i="94"/>
  <c r="BJ21" i="84"/>
  <c r="S24" i="78"/>
  <c r="E62" i="86"/>
  <c r="F36" i="78"/>
  <c r="P36" i="78" s="1"/>
  <c r="BT36" i="84" s="1"/>
  <c r="P21" i="78"/>
  <c r="BT21" i="84" s="1"/>
  <c r="X9" i="78"/>
  <c r="Y9" i="78" s="1"/>
  <c r="HY32" i="84"/>
  <c r="D34" i="10"/>
  <c r="IE32" i="84"/>
  <c r="J34" i="10"/>
  <c r="IC32" i="84"/>
  <c r="H34" i="10"/>
  <c r="II32" i="84"/>
  <c r="N34" i="10"/>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O1687" i="94"/>
  <c r="L20" i="97"/>
  <c r="O1629" i="94" s="1"/>
  <c r="J1687" i="94"/>
  <c r="G20" i="97"/>
  <c r="J1629" i="94" s="1"/>
  <c r="F20" i="97"/>
  <c r="I1629" i="94" s="1"/>
  <c r="I1687" i="94"/>
  <c r="BL36" i="84"/>
  <c r="H57" i="78"/>
  <c r="K296" i="94"/>
  <c r="H37" i="78"/>
  <c r="H99" i="97"/>
  <c r="I20" i="97"/>
  <c r="L1629" i="94" s="1"/>
  <c r="L1687" i="94"/>
  <c r="H1687" i="94"/>
  <c r="E20" i="97"/>
  <c r="H1629" i="94" s="1"/>
  <c r="P1687" i="94"/>
  <c r="M20" i="97"/>
  <c r="P1629" i="94" s="1"/>
  <c r="J37" i="78"/>
  <c r="J57" i="78"/>
  <c r="M296" i="94"/>
  <c r="BN36" i="84"/>
  <c r="J99" i="97"/>
  <c r="K37" i="78"/>
  <c r="N296" i="94"/>
  <c r="K57" i="78"/>
  <c r="K99" i="97"/>
  <c r="BO36" i="84"/>
  <c r="N99" i="97"/>
  <c r="BR36" i="84"/>
  <c r="N37" i="78"/>
  <c r="N57" i="78"/>
  <c r="Q296" i="94"/>
  <c r="I99" i="97"/>
  <c r="L296" i="94"/>
  <c r="I37" i="78"/>
  <c r="BM36" i="84"/>
  <c r="I57" i="78"/>
  <c r="H20" i="97"/>
  <c r="K1629" i="94" s="1"/>
  <c r="K1687" i="94"/>
  <c r="W32" i="97"/>
  <c r="S1728" i="94"/>
  <c r="U1728" i="94" s="1"/>
  <c r="E1729" i="94"/>
  <c r="O37" i="78"/>
  <c r="O99" i="97"/>
  <c r="R296" i="94"/>
  <c r="O57" i="78"/>
  <c r="BS36" i="84"/>
  <c r="Z4" i="5"/>
  <c r="AA4" i="5" s="1"/>
  <c r="D351" i="94"/>
  <c r="BE133" i="84"/>
  <c r="BP36" i="84"/>
  <c r="L57" i="78"/>
  <c r="L37" i="78"/>
  <c r="L99" i="97"/>
  <c r="O296" i="94"/>
  <c r="G57" i="78"/>
  <c r="G37" i="78"/>
  <c r="G99" i="97"/>
  <c r="J296" i="94"/>
  <c r="BK36" i="84"/>
  <c r="F99" i="97"/>
  <c r="F57" i="78"/>
  <c r="I296" i="94"/>
  <c r="BJ36" i="84"/>
  <c r="F37" i="78"/>
  <c r="H1641" i="94"/>
  <c r="T32" i="97"/>
  <c r="J20" i="97"/>
  <c r="M1629" i="94" s="1"/>
  <c r="M1687" i="94"/>
  <c r="N1687" i="94"/>
  <c r="K20" i="97"/>
  <c r="N1629" i="94" s="1"/>
  <c r="Q1687" i="94"/>
  <c r="N20" i="97"/>
  <c r="Q1629" i="94" s="1"/>
  <c r="LT6" i="84"/>
  <c r="I151" i="68"/>
  <c r="LS6" i="84"/>
  <c r="H151" i="68"/>
  <c r="P84" i="97"/>
  <c r="D20" i="97"/>
  <c r="S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P10" i="91" s="1"/>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Z4" i="4" l="1"/>
  <c r="AA4" i="4" s="1"/>
  <c r="AA5" i="4" s="1"/>
  <c r="D15" i="90"/>
  <c r="LH13" i="84"/>
  <c r="E13" i="90"/>
  <c r="LI13" i="84" s="1"/>
  <c r="D14" i="90"/>
  <c r="Q21" i="78"/>
  <c r="C17" i="83"/>
  <c r="D17" i="83" s="1"/>
  <c r="C3" i="10"/>
  <c r="HX3" i="84" s="1"/>
  <c r="R1" i="10"/>
  <c r="D36" i="10"/>
  <c r="HY36" i="84" s="1"/>
  <c r="HY34" i="84"/>
  <c r="IF34" i="84"/>
  <c r="K36" i="10"/>
  <c r="IF36" i="84" s="1"/>
  <c r="IA34" i="84"/>
  <c r="F36" i="10"/>
  <c r="IA36" i="84" s="1"/>
  <c r="IH34" i="84"/>
  <c r="M36" i="10"/>
  <c r="IH36" i="84" s="1"/>
  <c r="II34" i="84"/>
  <c r="N36" i="10"/>
  <c r="II36" i="84" s="1"/>
  <c r="HZ34" i="84"/>
  <c r="E36" i="10"/>
  <c r="HZ36" i="84" s="1"/>
  <c r="IJ32" i="84"/>
  <c r="O34" i="10"/>
  <c r="IJ34" i="84" s="1"/>
  <c r="I36" i="10"/>
  <c r="ID36" i="84" s="1"/>
  <c r="ID34" i="84"/>
  <c r="H36" i="10"/>
  <c r="IC36" i="84" s="1"/>
  <c r="IC34" i="84"/>
  <c r="G36" i="10"/>
  <c r="IB36" i="84" s="1"/>
  <c r="IB34" i="84"/>
  <c r="IG34" i="84"/>
  <c r="L36" i="10"/>
  <c r="IG36" i="84" s="1"/>
  <c r="IE34" i="84"/>
  <c r="J36" i="10"/>
  <c r="IE36" i="84" s="1"/>
  <c r="HI10" i="84"/>
  <c r="T10" i="91"/>
  <c r="P48" i="91"/>
  <c r="HI48" i="84" s="1"/>
  <c r="Q36" i="78"/>
  <c r="Q37" i="78" s="1"/>
  <c r="P37" i="78"/>
  <c r="O1702" i="94"/>
  <c r="L35" i="97"/>
  <c r="O1644" i="94" s="1"/>
  <c r="K100" i="97"/>
  <c r="BO37" i="84"/>
  <c r="N297" i="94"/>
  <c r="S1641" i="94"/>
  <c r="U1641" i="94" s="1"/>
  <c r="U32" i="97"/>
  <c r="P1702" i="94"/>
  <c r="M35" i="97"/>
  <c r="P1644" i="94" s="1"/>
  <c r="F35" i="97"/>
  <c r="I1644" i="94" s="1"/>
  <c r="I1702" i="94"/>
  <c r="L100" i="97"/>
  <c r="O297" i="94"/>
  <c r="BP37" i="84"/>
  <c r="N100" i="97"/>
  <c r="Q297" i="94"/>
  <c r="BR37" i="84"/>
  <c r="M1702" i="94"/>
  <c r="J35" i="97"/>
  <c r="M1644" i="94" s="1"/>
  <c r="H1702" i="94"/>
  <c r="E35" i="97"/>
  <c r="H1644" i="94" s="1"/>
  <c r="X32" i="97"/>
  <c r="S1755" i="94"/>
  <c r="U1755" i="94" s="1"/>
  <c r="R1702" i="94"/>
  <c r="O35" i="97"/>
  <c r="R1644" i="94" s="1"/>
  <c r="Q1702" i="94"/>
  <c r="N35" i="97"/>
  <c r="Q1644" i="94" s="1"/>
  <c r="J1702" i="94"/>
  <c r="G35" i="97"/>
  <c r="J1644" i="94" s="1"/>
  <c r="O100" i="97"/>
  <c r="R297" i="94"/>
  <c r="BS37" i="84"/>
  <c r="I100" i="97"/>
  <c r="L297" i="94"/>
  <c r="BM37" i="84"/>
  <c r="H35" i="97"/>
  <c r="K1644" i="94" s="1"/>
  <c r="K1702" i="94"/>
  <c r="E100" i="97"/>
  <c r="H297" i="94"/>
  <c r="BI37" i="84"/>
  <c r="F100" i="97"/>
  <c r="I297" i="94"/>
  <c r="BJ37" i="84"/>
  <c r="G100" i="97"/>
  <c r="J297" i="94"/>
  <c r="BK37" i="84"/>
  <c r="N1702" i="94"/>
  <c r="K35" i="97"/>
  <c r="N1644" i="94" s="1"/>
  <c r="J100" i="97"/>
  <c r="M297" i="94"/>
  <c r="BN37" i="84"/>
  <c r="H100" i="97"/>
  <c r="BL37" i="84"/>
  <c r="K297" i="94"/>
  <c r="M100" i="97"/>
  <c r="BQ37" i="84"/>
  <c r="P297" i="94"/>
  <c r="I35" i="97"/>
  <c r="L1644" i="94" s="1"/>
  <c r="L1702" i="94"/>
  <c r="LS151" i="84"/>
  <c r="H157" i="68"/>
  <c r="LS157" i="84" s="1"/>
  <c r="LT151" i="84"/>
  <c r="I157" i="68"/>
  <c r="LT157" i="84" s="1"/>
  <c r="X31" i="97"/>
  <c r="S1754" i="94"/>
  <c r="U1754" i="94" s="1"/>
  <c r="S35" i="97"/>
  <c r="G1702" i="94"/>
  <c r="D35" i="97"/>
  <c r="P99" i="97"/>
  <c r="U31" i="97"/>
  <c r="S1640" i="94"/>
  <c r="U1640" i="94" s="1"/>
  <c r="D100" i="97"/>
  <c r="AH11" i="78"/>
  <c r="AH10" i="78"/>
  <c r="AH7" i="78"/>
  <c r="AH2" i="78"/>
  <c r="AH12" i="78"/>
  <c r="G297" i="94"/>
  <c r="AH9" i="78"/>
  <c r="AH6" i="78"/>
  <c r="AH3" i="78"/>
  <c r="BH37" i="84"/>
  <c r="AH5" i="78"/>
  <c r="AH4" i="78"/>
  <c r="AH8" i="78"/>
  <c r="W20" i="97"/>
  <c r="E1717" i="94"/>
  <c r="S1716" i="94"/>
  <c r="U1716" i="94" s="1"/>
  <c r="G1629" i="94"/>
  <c r="T20" i="97"/>
  <c r="P20" i="97"/>
  <c r="S1687" i="94"/>
  <c r="U1687" i="94" s="1"/>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281" i="94"/>
  <c r="U281" i="94" s="1"/>
  <c r="BU21"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D38" i="10"/>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LH14" i="84" l="1"/>
  <c r="E14" i="90"/>
  <c r="LI14" i="84" s="1"/>
  <c r="LH15" i="84"/>
  <c r="E15" i="90"/>
  <c r="LI15" i="84" s="1"/>
  <c r="S1782" i="94"/>
  <c r="U1782" i="94" s="1"/>
  <c r="Y32" i="97"/>
  <c r="E61" i="78"/>
  <c r="BI62" i="84" s="1"/>
  <c r="E64" i="78"/>
  <c r="BI65" i="84" s="1"/>
  <c r="S1319" i="94"/>
  <c r="U1319" i="94" s="1"/>
  <c r="HL10" i="84"/>
  <c r="T48" i="91"/>
  <c r="K61" i="78"/>
  <c r="BO62" i="84" s="1"/>
  <c r="BT37" i="84"/>
  <c r="C11" i="1"/>
  <c r="E60" i="78"/>
  <c r="BI61" i="84" s="1"/>
  <c r="S1781" i="94"/>
  <c r="U1781" i="94" s="1"/>
  <c r="Y31" i="97"/>
  <c r="S296" i="94"/>
  <c r="U296" i="94" s="1"/>
  <c r="D51" i="78"/>
  <c r="BH51" i="84" s="1"/>
  <c r="BU36" i="84"/>
  <c r="P1703" i="94"/>
  <c r="M36" i="97"/>
  <c r="P1645" i="94" s="1"/>
  <c r="Q1703" i="94"/>
  <c r="N36" i="97"/>
  <c r="Q1645" i="94" s="1"/>
  <c r="E36" i="97"/>
  <c r="H1645" i="94" s="1"/>
  <c r="H1703" i="94"/>
  <c r="R1703" i="94"/>
  <c r="O36" i="97"/>
  <c r="R1645" i="94" s="1"/>
  <c r="K1703" i="94"/>
  <c r="H36" i="97"/>
  <c r="K1645" i="94" s="1"/>
  <c r="J1703" i="94"/>
  <c r="G36" i="97"/>
  <c r="J1645" i="94" s="1"/>
  <c r="O1703" i="94"/>
  <c r="L36" i="97"/>
  <c r="O1645" i="94" s="1"/>
  <c r="N1703" i="94"/>
  <c r="K36" i="97"/>
  <c r="N1645" i="94" s="1"/>
  <c r="M1703" i="94"/>
  <c r="J36" i="97"/>
  <c r="M1645" i="94" s="1"/>
  <c r="I1703" i="94"/>
  <c r="F36" i="97"/>
  <c r="I1645" i="94" s="1"/>
  <c r="I36" i="97"/>
  <c r="L1645" i="94" s="1"/>
  <c r="L1703" i="94"/>
  <c r="S1702" i="94"/>
  <c r="U1702" i="94" s="1"/>
  <c r="P35" i="97"/>
  <c r="G1644" i="94"/>
  <c r="T35" i="97"/>
  <c r="U20" i="97"/>
  <c r="S1629" i="94"/>
  <c r="U1629" i="94" s="1"/>
  <c r="X20" i="97"/>
  <c r="S1743" i="94"/>
  <c r="U1743" i="94" s="1"/>
  <c r="W35" i="97"/>
  <c r="E1732" i="94"/>
  <c r="S1731" i="94"/>
  <c r="U1731" i="94" s="1"/>
  <c r="P100" i="97"/>
  <c r="G1703" i="94"/>
  <c r="S36" i="97"/>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HY38" i="84"/>
  <c r="S297" i="94"/>
  <c r="U297" i="94" s="1"/>
  <c r="BU37" i="84"/>
  <c r="T7" i="8"/>
  <c r="D15" i="83" s="1"/>
  <c r="D204" i="86"/>
  <c r="CA204" i="84" s="1"/>
  <c r="E37" i="10"/>
  <c r="H72" i="12"/>
  <c r="F73" i="12"/>
  <c r="H31" i="12"/>
  <c r="G20" i="86"/>
  <c r="H42" i="12"/>
  <c r="H43" i="12" s="1"/>
  <c r="I72" i="12"/>
  <c r="G73" i="12"/>
  <c r="K72" i="12"/>
  <c r="D13" i="83"/>
  <c r="B20" i="83"/>
  <c r="C20" i="83"/>
  <c r="D20" i="83" s="1"/>
  <c r="Z1" i="4"/>
  <c r="G3" i="4"/>
  <c r="C3" i="4"/>
  <c r="KO3" i="84" s="1"/>
  <c r="C11" i="84" l="1"/>
  <c r="F11" i="90"/>
  <c r="S1353" i="94"/>
  <c r="U1353" i="94" s="1"/>
  <c r="HL48" i="84"/>
  <c r="E65" i="78"/>
  <c r="BI66" i="84" s="1"/>
  <c r="E62" i="78"/>
  <c r="BI63" i="84" s="1"/>
  <c r="S306" i="94"/>
  <c r="U306" i="94" s="1"/>
  <c r="D55" i="78"/>
  <c r="S310" i="94" s="1"/>
  <c r="U310" i="94" s="1"/>
  <c r="S1770" i="94"/>
  <c r="U1770" i="94" s="1"/>
  <c r="Y20" i="97"/>
  <c r="G1645" i="94"/>
  <c r="T36" i="97"/>
  <c r="W36" i="97"/>
  <c r="S1732" i="94"/>
  <c r="U1732" i="94" s="1"/>
  <c r="E1733" i="94"/>
  <c r="X35" i="97"/>
  <c r="S1758" i="94"/>
  <c r="U1758" i="94" s="1"/>
  <c r="S1703" i="94"/>
  <c r="U1703" i="94" s="1"/>
  <c r="P36" i="97"/>
  <c r="U35" i="97"/>
  <c r="S1644" i="94"/>
  <c r="U1644" i="94" s="1"/>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I10" i="3" s="1"/>
  <c r="J10" i="3" s="1"/>
  <c r="F4" i="5"/>
  <c r="F42" i="12"/>
  <c r="F43" i="12" s="1"/>
  <c r="E20" i="86"/>
  <c r="F31" i="12"/>
  <c r="H73" i="12"/>
  <c r="H20" i="86"/>
  <c r="I31" i="12"/>
  <c r="I42" i="12"/>
  <c r="I43" i="12" s="1"/>
  <c r="L95" i="12"/>
  <c r="I73" i="12"/>
  <c r="G42" i="12"/>
  <c r="G43" i="12" s="1"/>
  <c r="G31" i="12"/>
  <c r="F20" i="86"/>
  <c r="J34" i="12"/>
  <c r="EH34" i="84" s="1"/>
  <c r="J32" i="12"/>
  <c r="Z1" i="5"/>
  <c r="B19" i="83"/>
  <c r="LJ11" i="84" l="1"/>
  <c r="F29" i="90"/>
  <c r="LJ29" i="84" s="1"/>
  <c r="G11" i="90"/>
  <c r="F64" i="78"/>
  <c r="BJ65" i="84" s="1"/>
  <c r="K60" i="78"/>
  <c r="BO61" i="84" s="1"/>
  <c r="BH55" i="84"/>
  <c r="D56" i="78"/>
  <c r="X32" i="78" s="1"/>
  <c r="Y32" i="78" s="1"/>
  <c r="Y33" i="78" s="1"/>
  <c r="D5" i="78" s="1"/>
  <c r="BH5" i="84" s="1"/>
  <c r="Y35" i="97"/>
  <c r="S1785" i="94"/>
  <c r="U1785" i="94" s="1"/>
  <c r="X36" i="97"/>
  <c r="S1759" i="94"/>
  <c r="U1759" i="94" s="1"/>
  <c r="U36" i="97"/>
  <c r="S1645" i="94"/>
  <c r="U1645" i="94" s="1"/>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I3" i="90" l="1"/>
  <c r="J3" i="90" s="1"/>
  <c r="C8" i="83"/>
  <c r="D8" i="83" s="1"/>
  <c r="B8" i="83"/>
  <c r="D6" i="78"/>
  <c r="BH6" i="84" s="1"/>
  <c r="X1" i="78"/>
  <c r="S1786" i="94"/>
  <c r="U1786" i="94" s="1"/>
  <c r="Y36" i="97"/>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BX71" i="84" l="1"/>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BX72" i="84" l="1"/>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I11" i="3" s="1"/>
  <c r="J11" i="3" s="1"/>
  <c r="J21" i="3" s="1"/>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C25" i="83"/>
  <c r="B25" i="83" s="1"/>
  <c r="A231" i="86"/>
  <c r="BX231" i="84" s="1"/>
  <c r="BX230" i="84"/>
  <c r="I1" i="90" l="1"/>
  <c r="B21" i="83"/>
  <c r="C3" i="90"/>
  <c r="LG3" i="84" s="1"/>
  <c r="LH29" i="84"/>
  <c r="D31" i="90"/>
  <c r="LI11" i="84"/>
  <c r="E29" i="90"/>
  <c r="LI29" i="84" s="1"/>
  <c r="LH31" i="84" l="1"/>
  <c r="D36" i="90"/>
  <c r="LH36" i="84" s="1"/>
  <c r="E31" i="90"/>
  <c r="LI31" i="84" l="1"/>
  <c r="E36" i="90"/>
  <c r="LI36"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E00-000001000000}">
      <text>
        <r>
          <rPr>
            <b/>
            <sz val="9"/>
            <color indexed="81"/>
            <rFont val="Tahoma"/>
            <family val="2"/>
          </rPr>
          <t xml:space="preserve">Enter the applicable indicator (R or NR) against each line of anticipated income. </t>
        </r>
      </text>
    </comment>
    <comment ref="I4" authorId="0" shapeId="0" xr:uid="{00000000-0006-0000-0E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E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E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E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E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E00-000007000000}">
      <text>
        <r>
          <rPr>
            <b/>
            <sz val="9"/>
            <color indexed="81"/>
            <rFont val="Tahoma"/>
            <family val="2"/>
          </rPr>
          <t>This should reflect the resource allocation received to date,</t>
        </r>
      </text>
    </comment>
    <comment ref="B13" authorId="0" shapeId="0" xr:uid="{00000000-0006-0000-0E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10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10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1000-000003000000}">
      <text>
        <r>
          <rPr>
            <b/>
            <sz val="9"/>
            <color indexed="81"/>
            <rFont val="Tahoma"/>
            <family val="2"/>
          </rPr>
          <t>This should provide details of Trade and Other Payables analysed between capital and revenue.</t>
        </r>
      </text>
    </comment>
    <comment ref="B75" authorId="0" shapeId="0" xr:uid="{00000000-0006-0000-1000-000004000000}">
      <text>
        <r>
          <rPr>
            <b/>
            <sz val="9"/>
            <color indexed="81"/>
            <rFont val="Tahoma"/>
            <family val="2"/>
          </rPr>
          <t>This should provide details of Cash &amp; Cash Equivalents analysed between capital and revenue.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<sst xmlns="http://schemas.openxmlformats.org/spreadsheetml/2006/main" count="3807" uniqueCount="1486">
  <si>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</si>
  <si>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</si>
  <si>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</si>
  <si>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</si>
  <si>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</si>
  <si>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</si>
  <si>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</si>
  <si>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</si>
  <si>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</si>
  <si>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</si>
  <si>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</si>
  <si>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</si>
  <si>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</si>
  <si>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</si>
  <si>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</si>
  <si>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</si>
  <si>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</si>
  <si>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</si>
  <si>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</si>
  <si>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</si>
  <si>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</si>
  <si>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</si>
  <si>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</si>
  <si>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</si>
  <si>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</si>
  <si>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</si>
  <si>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</si>
  <si>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</si>
  <si>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</si>
  <si>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</si>
  <si>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</si>
  <si>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</si>
  <si>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</si>
  <si>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</si>
  <si>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</si>
  <si>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</si>
  <si>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</si>
  <si>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</si>
  <si>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</si>
  <si>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</si>
  <si>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</si>
  <si>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</si>
  <si>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</si>
  <si>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</si>
  <si>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</si>
  <si>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</si>
  <si>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</si>
  <si>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</si>
  <si>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</si>
  <si>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</si>
  <si>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</si>
  <si>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</si>
  <si>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</si>
  <si>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</si>
  <si>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</si>
  <si>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</si>
  <si>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</si>
  <si>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</si>
  <si>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</si>
  <si>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</si>
  <si>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</si>
  <si>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</si>
  <si>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</si>
  <si>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</si>
  <si>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</si>
  <si>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</si>
  <si>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</si>
  <si>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</si>
  <si>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</si>
  <si>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</si>
  <si>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</si>
  <si>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</si>
  <si>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</si>
  <si>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</si>
  <si>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</si>
  <si>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</si>
  <si>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</si>
  <si>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</si>
  <si>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</si>
  <si>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</si>
  <si>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</si>
  <si>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</si>
  <si>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</si>
  <si>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</si>
  <si>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</si>
  <si>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</si>
  <si>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</si>
  <si>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</si>
  <si>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</si>
  <si>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</si>
  <si>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</si>
  <si>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</si>
  <si>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</si>
  <si>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</si>
  <si>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</si>
  <si>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</si>
  <si>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</si>
  <si>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</si>
  <si>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</si>
  <si>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</si>
  <si>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</si>
  <si>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</si>
  <si>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</si>
  <si>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</si>
  <si>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</si>
  <si>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</si>
  <si>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</si>
  <si>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</si>
  <si>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</si>
  <si>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</si>
  <si>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</si>
  <si>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</si>
  <si>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</si>
  <si>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</si>
  <si>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</si>
  <si>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</si>
  <si>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</si>
  <si>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</si>
  <si>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</si>
  <si>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</si>
  <si>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</si>
  <si>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</si>
  <si>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</si>
  <si>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</si>
  <si>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</si>
  <si>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</si>
  <si>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</si>
  <si>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</si>
  <si>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</si>
  <si>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</si>
  <si>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</si>
  <si>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</si>
  <si>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</si>
  <si>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</si>
  <si>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</si>
  <si>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</si>
  <si>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</si>
  <si>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</si>
  <si>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</si>
  <si>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</si>
  <si>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</si>
  <si>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</si>
  <si>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</si>
  <si>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</si>
  <si>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</si>
  <si>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</si>
  <si>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</si>
  <si>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</si>
  <si>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</si>
  <si>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</si>
  <si>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</si>
  <si>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</si>
  <si>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</si>
  <si>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</si>
  <si>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</si>
  <si>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</si>
  <si>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</si>
  <si>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</si>
  <si>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</si>
  <si>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</si>
  <si>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</si>
  <si>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</si>
  <si>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</si>
  <si>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</si>
  <si>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</si>
  <si>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</si>
  <si>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</si>
  <si>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</si>
  <si>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</si>
  <si>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</si>
  <si>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</si>
  <si>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</si>
  <si>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</si>
  <si>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</si>
  <si>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</si>
  <si>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</si>
  <si>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</si>
  <si>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</si>
  <si>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</si>
  <si>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</si>
  <si>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</si>
  <si>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</si>
  <si>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</si>
  <si>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</si>
  <si>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</si>
  <si>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</si>
  <si>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</si>
  <si>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</si>
  <si>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</si>
  <si>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</si>
  <si>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</si>
  <si>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</si>
  <si>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</si>
  <si>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</si>
  <si>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</si>
  <si>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</si>
  <si>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</si>
  <si>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</si>
  <si>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</si>
  <si>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</si>
  <si>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</si>
  <si>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</si>
  <si>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</si>
  <si>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</si>
  <si>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</si>
  <si>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</si>
  <si>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</si>
  <si>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</si>
  <si>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</si>
  <si>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</si>
  <si>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</si>
  <si>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</si>
  <si>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</si>
  <si>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</si>
  <si>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</si>
  <si>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</si>
  <si>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</si>
  <si>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</si>
  <si>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</si>
  <si>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</si>
  <si>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</si>
  <si>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</si>
  <si>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</si>
  <si>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</si>
  <si>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</si>
  <si>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</si>
  <si>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</si>
  <si>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</si>
  <si>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</si>
  <si>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</si>
  <si>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</si>
  <si>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</si>
  <si>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</si>
  <si>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</si>
  <si>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</si>
  <si>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</si>
  <si>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</si>
  <si>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</si>
  <si>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</si>
  <si>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</si>
  <si>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</si>
  <si>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</si>
  <si>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</si>
  <si>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</si>
  <si>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</si>
  <si>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</si>
  <si>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</si>
  <si>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</si>
  <si>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</si>
  <si>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</si>
  <si>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</si>
  <si>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</si>
  <si>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</si>
  <si>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</si>
  <si>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</si>
  <si>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</si>
  <si>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</si>
  <si>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</si>
  <si>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</si>
  <si>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</si>
  <si>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</si>
  <si>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</si>
  <si>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</si>
  <si>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</si>
  <si>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</si>
  <si>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</si>
  <si>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</si>
  <si>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</si>
  <si>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</si>
  <si>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</si>
  <si>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</si>
  <si>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</si>
  <si>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</si>
  <si>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</si>
  <si>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</si>
  <si>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</si>
  <si>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</si>
  <si>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</si>
  <si>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</si>
  <si>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</si>
  <si>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</si>
  <si>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</si>
  <si>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</si>
  <si>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</si>
  <si>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</si>
  <si>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</si>
  <si>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</si>
  <si>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</si>
  <si>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</si>
  <si>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</si>
  <si>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</si>
  <si>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</si>
  <si>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</si>
  <si>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</si>
  <si>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</si>
  <si>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</si>
  <si>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</si>
  <si>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</si>
  <si>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</si>
  <si>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</si>
  <si>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</si>
  <si>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</si>
  <si>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</si>
  <si>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</si>
  <si>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</si>
  <si>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</si>
  <si>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</si>
  <si>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</si>
  <si>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</si>
  <si>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</si>
  <si>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</si>
  <si>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</si>
  <si>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</si>
  <si>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</si>
  <si>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</si>
  <si>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</si>
  <si>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</si>
  <si>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</si>
  <si>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</si>
  <si>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</si>
  <si>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</si>
  <si>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</si>
  <si>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</si>
  <si>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</si>
  <si>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</si>
  <si>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</si>
  <si>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</si>
  <si>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</si>
  <si>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</si>
  <si>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</si>
  <si>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</si>
  <si>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</si>
  <si>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</si>
  <si>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</si>
  <si>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</si>
  <si>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</si>
  <si>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</si>
  <si>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</si>
  <si>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</si>
  <si>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</si>
  <si>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</si>
  <si>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</si>
  <si>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</si>
  <si>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</si>
  <si>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</si>
  <si>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</si>
  <si>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</si>
  <si>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</si>
  <si>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</si>
  <si>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</si>
  <si>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</si>
  <si>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</si>
  <si>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</si>
  <si>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</si>
  <si>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</si>
  <si>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</si>
  <si>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</si>
  <si>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</si>
  <si>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</si>
  <si>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</si>
  <si>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</si>
  <si>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</si>
  <si>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</si>
  <si>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</si>
  <si>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</si>
  <si>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</si>
  <si>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</si>
  <si>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</si>
  <si>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</si>
  <si>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</si>
  <si>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</si>
  <si>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</si>
  <si>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</si>
  <si>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</si>
  <si>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</si>
  <si>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</si>
  <si>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</si>
  <si>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</si>
  <si>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</si>
  <si>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</si>
  <si>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</si>
  <si>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</si>
  <si>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</si>
  <si>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</si>
  <si>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</si>
  <si>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</si>
  <si>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</si>
  <si>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</si>
  <si>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</si>
  <si>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</si>
  <si>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</si>
  <si>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</si>
  <si>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</si>
  <si>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</si>
  <si>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</si>
  <si>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</si>
  <si>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</si>
  <si>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</si>
  <si>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</si>
  <si>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</si>
  <si>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</si>
  <si>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</si>
  <si>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</si>
  <si>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</si>
  <si>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</si>
  <si>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</si>
  <si>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</si>
  <si>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</si>
  <si>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</si>
  <si>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</si>
  <si>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</si>
  <si>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</si>
  <si>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</si>
  <si>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</si>
  <si>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</si>
  <si>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</si>
  <si>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</si>
  <si>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</si>
  <si>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</si>
  <si>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</si>
  <si>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</si>
  <si>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</si>
  <si>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</si>
  <si>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</si>
  <si>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</si>
  <si>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</si>
  <si>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</si>
  <si>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</si>
  <si>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</si>
  <si>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</si>
  <si>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</si>
  <si>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</si>
  <si>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</si>
  <si>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</si>
  <si>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</si>
  <si>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</si>
  <si>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</si>
  <si>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</si>
  <si>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</si>
  <si>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</si>
  <si>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</si>
  <si>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</si>
  <si>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</si>
  <si>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</si>
  <si>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</si>
  <si>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</si>
  <si>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</si>
  <si>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</si>
  <si>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</si>
  <si>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</si>
  <si>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</si>
  <si>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</si>
  <si>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</si>
  <si>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</si>
  <si>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</si>
  <si>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</si>
  <si>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</si>
  <si>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</si>
  <si>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</si>
  <si>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</si>
  <si>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</si>
  <si>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</si>
  <si>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</si>
  <si>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</si>
  <si>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</si>
  <si>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</si>
  <si>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</si>
  <si>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</si>
  <si>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</si>
  <si>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</si>
  <si>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</si>
  <si>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</si>
  <si>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</si>
  <si>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</si>
  <si>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</si>
  <si>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</si>
  <si>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</si>
  <si>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</si>
  <si>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</si>
  <si>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</si>
  <si>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</si>
  <si>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</si>
  <si>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</si>
  <si>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</si>
  <si>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</si>
  <si>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</si>
  <si>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</si>
  <si>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</si>
  <si>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</si>
  <si>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</si>
  <si>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</si>
  <si>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</si>
  <si>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</si>
  <si>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</si>
  <si>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</si>
  <si>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</si>
  <si>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</si>
  <si>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</si>
  <si>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</si>
  <si>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</si>
  <si>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</si>
  <si>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</si>
  <si>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</si>
  <si>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</si>
  <si>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</si>
  <si>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</si>
  <si>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</si>
  <si>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</si>
  <si>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</si>
  <si>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</si>
  <si>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</si>
  <si>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</si>
  <si>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</si>
  <si>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</si>
  <si>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</si>
  <si>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</si>
  <si>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</si>
  <si>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</si>
  <si>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</si>
  <si>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</si>
  <si>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</si>
  <si>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</si>
  <si>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</si>
  <si>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</si>
  <si>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</si>
  <si>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</si>
  <si>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</si>
  <si>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</si>
  <si>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</si>
  <si>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</si>
  <si>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</si>
  <si>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</si>
  <si>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</si>
  <si>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</si>
  <si>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</si>
  <si>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</si>
  <si>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</si>
  <si>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</si>
  <si>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</si>
  <si>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</si>
  <si>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</si>
  <si>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</si>
  <si>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</si>
  <si>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</si>
  <si>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</si>
  <si>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</si>
  <si>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</si>
  <si>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</si>
  <si>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</si>
  <si>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</si>
  <si>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</si>
  <si>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</si>
  <si>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</si>
  <si>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</si>
  <si>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</si>
  <si>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</si>
  <si>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</si>
  <si>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</si>
  <si>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</si>
  <si>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</si>
  <si>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</si>
  <si>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</si>
  <si>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</si>
  <si>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</si>
  <si>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</si>
  <si>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</si>
  <si>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</si>
  <si>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</si>
  <si>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</si>
  <si>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</si>
  <si>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</si>
  <si>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</si>
  <si>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</si>
  <si>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</si>
  <si>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</si>
  <si>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</si>
  <si>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</si>
  <si>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</si>
  <si>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</si>
  <si>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</si>
  <si>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</si>
  <si>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</si>
  <si>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</si>
  <si>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</si>
  <si>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</si>
  <si>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</si>
  <si>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</si>
  <si>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</si>
  <si>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</si>
  <si>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</si>
  <si>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</si>
  <si>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</si>
  <si>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</si>
  <si>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</si>
  <si>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</si>
  <si>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</si>
  <si>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</si>
  <si>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</si>
  <si>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</si>
  <si>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</si>
  <si>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</si>
  <si>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</si>
  <si>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</si>
  <si>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</si>
  <si>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</si>
  <si>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</si>
  <si>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</si>
  <si>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</si>
  <si>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</si>
  <si>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</si>
  <si>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</si>
  <si>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</si>
  <si>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</si>
  <si>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</si>
  <si>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</si>
  <si>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</si>
  <si>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</si>
  <si>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</si>
  <si>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</si>
  <si>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</si>
  <si>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</si>
  <si>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</si>
  <si>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</si>
  <si>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</si>
  <si>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</si>
  <si>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</si>
  <si>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</si>
  <si>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</si>
  <si>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</si>
  <si>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</si>
  <si>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</si>
  <si>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</si>
  <si>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</si>
  <si>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</si>
  <si>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</si>
  <si>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</si>
  <si>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</si>
  <si>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</si>
  <si>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</si>
  <si>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</si>
  <si>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</si>
  <si>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</si>
  <si>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</si>
  <si>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</si>
  <si>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</si>
  <si>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</si>
  <si>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</si>
  <si>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</si>
  <si>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</si>
  <si>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</si>
  <si>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</si>
  <si>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</si>
  <si>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</si>
  <si>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</si>
  <si>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</si>
  <si>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</si>
  <si>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</si>
  <si>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</si>
  <si>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</si>
  <si>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</si>
  <si>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</si>
  <si>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</si>
  <si>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</si>
  <si>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</si>
  <si>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</si>
  <si>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</si>
  <si>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</si>
  <si>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</si>
  <si>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</si>
  <si>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</si>
  <si>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</si>
  <si>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</si>
  <si>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</si>
  <si>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</si>
  <si>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</si>
  <si>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</si>
  <si>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</si>
  <si>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</si>
  <si>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</si>
  <si>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</si>
  <si>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</si>
  <si>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</si>
  <si>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</si>
  <si>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</si>
  <si>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</si>
  <si>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</si>
  <si>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</si>
  <si>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</si>
  <si>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</si>
  <si>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</si>
  <si>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</si>
  <si>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</si>
  <si>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</si>
  <si>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</si>
  <si>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</si>
  <si>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</si>
  <si>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</si>
  <si>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</si>
  <si>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</si>
  <si>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</si>
  <si>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</si>
  <si>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</si>
  <si>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</si>
  <si>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</si>
  <si>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</si>
  <si>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</si>
  <si>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</si>
  <si>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</si>
  <si>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</si>
  <si>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</si>
  <si>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</si>
  <si>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</si>
  <si>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</si>
  <si>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</si>
  <si>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</si>
  <si>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</si>
  <si>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</si>
  <si>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</si>
  <si>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</si>
  <si>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</si>
  <si>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</si>
  <si>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</si>
  <si>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</si>
  <si>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</si>
  <si>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</si>
  <si>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</si>
  <si>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</si>
  <si>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</si>
  <si>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</si>
  <si>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</si>
  <si>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</si>
  <si>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</si>
  <si>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</si>
  <si>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</si>
  <si>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</si>
  <si>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</si>
  <si>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</si>
  <si>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</si>
  <si>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</si>
  <si>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</si>
  <si>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</si>
  <si>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</si>
  <si>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</si>
  <si>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</si>
  <si>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</si>
  <si>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</si>
  <si>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</si>
  <si>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</si>
  <si>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</si>
  <si>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</si>
  <si>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</si>
  <si>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</si>
  <si>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</si>
  <si>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</si>
  <si>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</si>
  <si>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</si>
  <si>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</si>
  <si>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</si>
  <si>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</si>
  <si>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</si>
  <si>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</si>
  <si>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</si>
  <si>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</si>
  <si>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</si>
  <si>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</si>
  <si>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</si>
  <si>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</si>
  <si>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</si>
  <si>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</si>
  <si>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</si>
  <si>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</si>
  <si>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</si>
  <si>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</si>
  <si>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</si>
  <si>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</si>
  <si>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</si>
  <si>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</si>
  <si>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</si>
  <si>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</si>
  <si>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</si>
  <si>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</si>
  <si>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</si>
  <si>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</si>
  <si>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</si>
  <si>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</si>
  <si>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</si>
  <si>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</si>
  <si>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</si>
  <si>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</si>
  <si>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</si>
  <si>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</si>
  <si>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</si>
  <si>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</si>
  <si>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</si>
  <si>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</si>
  <si>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</si>
  <si>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</si>
  <si>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</si>
  <si>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</si>
  <si>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</si>
  <si>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</si>
  <si>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</si>
  <si>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</si>
  <si>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</si>
  <si>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</si>
  <si>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</si>
  <si>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</si>
  <si>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</si>
  <si>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</si>
  <si>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</si>
  <si>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</si>
  <si>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</si>
  <si>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</si>
  <si>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</si>
  <si>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</si>
  <si>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</si>
  <si>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</si>
  <si>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</si>
  <si>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</si>
  <si>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</si>
  <si>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</si>
  <si>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</si>
  <si>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</si>
  <si>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</si>
  <si>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</si>
  <si>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</si>
  <si>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</si>
  <si>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</si>
  <si>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</si>
  <si>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</si>
  <si>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</si>
  <si>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</si>
  <si>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</si>
  <si>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</si>
  <si>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</si>
  <si>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</si>
  <si>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</si>
  <si>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</si>
  <si>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</si>
  <si>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</si>
  <si>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</si>
  <si>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</si>
  <si>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</si>
  <si>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</si>
  <si>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</si>
  <si>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</si>
  <si>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</si>
  <si>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</si>
  <si>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</si>
  <si>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</si>
  <si>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</si>
  <si>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</si>
  <si>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</si>
  <si>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</si>
  <si>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</si>
  <si>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</si>
  <si>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</si>
  <si>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</si>
  <si>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</si>
  <si>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</si>
  <si>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</si>
  <si>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</si>
  <si>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</si>
  <si>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</si>
  <si>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</si>
  <si>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</si>
  <si>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</si>
  <si>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</si>
  <si>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</si>
  <si>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</si>
  <si>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</si>
  <si>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</si>
  <si>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</si>
  <si>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</si>
  <si>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</si>
  <si>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</si>
  <si>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</si>
  <si>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</si>
  <si>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</si>
  <si>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</si>
  <si>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</si>
  <si>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</si>
  <si>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</si>
  <si>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</si>
  <si>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</si>
  <si>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</si>
  <si>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</si>
  <si>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</si>
  <si>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</si>
  <si>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</si>
  <si>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</si>
  <si>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</si>
  <si>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</si>
  <si>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</si>
  <si>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</si>
  <si>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</si>
  <si>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</si>
  <si>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</si>
  <si>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</si>
  <si>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</si>
  <si>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</si>
  <si>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</si>
  <si>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</si>
  <si>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</si>
  <si>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</si>
  <si>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</si>
  <si>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</si>
  <si>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</si>
  <si>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</si>
  <si>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</si>
  <si>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</si>
  <si>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</si>
  <si>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</si>
  <si>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</si>
  <si>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</si>
  <si>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</si>
  <si>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</si>
  <si>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</si>
  <si>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</si>
  <si>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</si>
  <si>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</si>
  <si>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</si>
  <si>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</si>
  <si>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</si>
  <si>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</si>
  <si>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</si>
  <si>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</si>
  <si>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</si>
  <si>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</si>
  <si>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</si>
  <si>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</si>
  <si>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</si>
  <si>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</si>
  <si>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</si>
  <si>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</si>
  <si>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</si>
  <si>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</si>
  <si>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</si>
  <si>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</si>
  <si>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</si>
  <si>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</si>
  <si>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</si>
  <si>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</si>
  <si>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</si>
  <si>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</si>
  <si>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</si>
  <si>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</si>
  <si>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</si>
  <si>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</si>
  <si>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</si>
  <si>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</si>
  <si>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</si>
  <si>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</si>
  <si>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</si>
  <si>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</si>
  <si>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</si>
  <si>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</si>
  <si>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</si>
  <si>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</si>
  <si>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</si>
  <si>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</si>
  <si>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</si>
  <si>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</si>
  <si>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</si>
  <si>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</si>
  <si>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</si>
  <si>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</si>
  <si>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</si>
  <si>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</si>
  <si>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</si>
  <si>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</si>
  <si>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</si>
  <si>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</si>
  <si>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</si>
  <si>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</si>
  <si>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</si>
  <si>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</si>
  <si>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</si>
  <si>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</si>
  <si>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</si>
  <si>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</si>
  <si>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</si>
  <si>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</si>
  <si>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</si>
  <si>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</si>
  <si>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</si>
  <si>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</si>
  <si>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</si>
  <si>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</si>
  <si>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</si>
  <si>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</si>
  <si>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</si>
  <si>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</si>
  <si>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</si>
  <si>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</si>
  <si>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</si>
  <si>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</si>
  <si>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</si>
  <si>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</si>
  <si>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</si>
  <si>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</si>
  <si>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</si>
  <si>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</si>
  <si>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</si>
  <si>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</si>
  <si>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</si>
  <si>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</si>
  <si>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</si>
  <si>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</si>
  <si>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</si>
  <si>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</si>
  <si>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</si>
  <si>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</si>
  <si>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</si>
  <si>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</si>
  <si>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</si>
  <si>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</si>
  <si>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</si>
  <si>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</si>
  <si>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</si>
  <si>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</si>
  <si>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</si>
  <si>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</si>
  <si>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</si>
  <si>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</si>
  <si>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</si>
  <si>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</si>
  <si>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</si>
  <si>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</si>
  <si>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</si>
  <si>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</si>
  <si>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</si>
  <si>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</si>
  <si>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</si>
  <si>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</si>
  <si>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</si>
  <si>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</si>
  <si>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</si>
  <si>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</si>
  <si>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</si>
  <si>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</si>
  <si>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</si>
  <si>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</si>
  <si>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</si>
  <si>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</si>
  <si>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</si>
  <si>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</si>
  <si>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</si>
  <si>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</si>
  <si>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</si>
  <si>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</si>
  <si>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</si>
  <si>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</si>
  <si>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</si>
  <si>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</si>
  <si>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</si>
  <si>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</si>
  <si>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</si>
  <si>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</si>
  <si>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</si>
  <si>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</si>
  <si>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</si>
  <si>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</si>
  <si>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</si>
  <si>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</si>
  <si>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</si>
  <si>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</si>
  <si>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</si>
  <si>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</si>
  <si>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</si>
  <si>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</si>
  <si>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</si>
  <si>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</si>
  <si>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</si>
  <si>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</si>
  <si>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</si>
  <si>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</si>
  <si>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</si>
  <si>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</si>
  <si>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</si>
  <si>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</si>
  <si>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</si>
  <si>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</si>
  <si>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</si>
  <si>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</si>
  <si>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</si>
  <si>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</si>
  <si>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</si>
  <si>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</si>
  <si>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</si>
  <si>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</si>
  <si>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</si>
  <si>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</si>
  <si>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</si>
  <si>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</si>
  <si>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</si>
  <si>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</si>
  <si>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</si>
  <si>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</si>
  <si>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</si>
  <si>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</si>
  <si>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</si>
  <si>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</si>
  <si>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</si>
  <si>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</si>
  <si>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</si>
  <si>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</si>
  <si>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</si>
  <si>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</si>
  <si>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</si>
  <si>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</si>
  <si>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</si>
  <si>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</si>
  <si>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</si>
  <si>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</si>
  <si>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</si>
  <si>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</si>
  <si>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</si>
  <si>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</si>
  <si>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</si>
  <si>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</si>
  <si>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</si>
  <si>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</si>
  <si>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</si>
  <si>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</si>
  <si>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</si>
  <si>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</si>
  <si>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</si>
  <si>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</si>
  <si>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</si>
  <si>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</si>
  <si>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</si>
  <si>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</si>
  <si>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</si>
  <si>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</si>
  <si>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</si>
  <si>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</si>
  <si>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</si>
  <si>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</si>
  <si>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</si>
  <si>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</si>
  <si>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</si>
  <si>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</si>
  <si>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</si>
  <si>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</si>
  <si>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</si>
  <si>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</si>
  <si>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</si>
  <si>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</si>
  <si>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</si>
  <si>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</si>
  <si>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</si>
  <si>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</si>
  <si>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</si>
  <si>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</si>
  <si>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</si>
  <si>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</si>
  <si>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</si>
  <si>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</si>
  <si>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</si>
  <si>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</si>
  <si>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</si>
  <si>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</si>
  <si>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</si>
  <si>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</si>
  <si>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</si>
  <si>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</si>
  <si>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</si>
  <si>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</si>
  <si>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</si>
  <si>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</si>
  <si>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</si>
  <si>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</si>
  <si>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</si>
  <si>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</si>
  <si>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</si>
  <si>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</si>
  <si>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</si>
  <si>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</si>
  <si>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</si>
  <si>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</si>
  <si>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</si>
  <si>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</si>
  <si>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</si>
  <si>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</si>
  <si>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</si>
  <si>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</si>
  <si>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</si>
  <si>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</si>
  <si>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</si>
  <si>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</si>
  <si>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</si>
  <si>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</si>
  <si>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</si>
  <si>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</si>
  <si>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</si>
  <si>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</si>
  <si>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</si>
  <si>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</si>
  <si>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</si>
  <si>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</si>
  <si>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</si>
  <si>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</si>
  <si>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</si>
  <si>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</si>
  <si>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</si>
  <si>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</si>
  <si>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</si>
  <si>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</si>
  <si>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</si>
  <si>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</si>
  <si>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</si>
  <si>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</si>
  <si>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</si>
  <si>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</si>
  <si>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</si>
  <si>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</si>
  <si>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</si>
  <si>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</si>
  <si>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</si>
  <si>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</si>
  <si>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</si>
  <si>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</si>
  <si>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</si>
  <si>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</si>
  <si>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</si>
  <si>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</si>
  <si>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</si>
  <si>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</si>
  <si>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</si>
  <si>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</si>
  <si>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</si>
  <si>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</si>
  <si>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</si>
  <si>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</si>
  <si>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</si>
  <si>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</si>
  <si>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</si>
  <si>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</si>
  <si>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</si>
  <si>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</si>
  <si>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</si>
  <si>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</si>
  <si>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</si>
  <si>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</si>
  <si>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</si>
  <si>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</si>
  <si>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</si>
  <si>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</si>
  <si>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</si>
  <si>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</si>
  <si>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</si>
  <si>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</si>
  <si>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</si>
  <si>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</si>
  <si>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</si>
  <si>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</si>
  <si>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</si>
  <si>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</si>
  <si>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</si>
  <si>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</si>
  <si>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</si>
  <si>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</si>
  <si>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</si>
  <si>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</si>
  <si>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</si>
  <si>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</si>
  <si>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</si>
  <si>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</si>
  <si>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</si>
  <si>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</si>
  <si>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</si>
  <si>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</si>
  <si>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</si>
  <si>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</si>
  <si>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</si>
  <si>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</si>
  <si>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</si>
  <si>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</si>
  <si>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</si>
  <si>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</si>
  <si>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</si>
  <si>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</si>
  <si>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</si>
  <si>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</si>
  <si>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</si>
  <si>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</si>
  <si>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</si>
  <si>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</si>
  <si>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</si>
  <si>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</si>
  <si>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</si>
  <si>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</si>
  <si>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</si>
  <si>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</si>
  <si>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</si>
  <si>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</si>
  <si>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</si>
  <si>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</si>
  <si>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</si>
  <si>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</si>
  <si>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</si>
  <si>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</si>
  <si>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</si>
  <si>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</si>
  <si>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</si>
  <si>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</si>
  <si>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</si>
  <si>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</si>
  <si>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</si>
  <si>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</si>
  <si>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</si>
  <si>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</si>
  <si>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</si>
  <si>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</si>
  <si>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</si>
  <si>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</si>
  <si>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</si>
  <si>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</si>
  <si>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</si>
  <si>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</si>
  <si>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</si>
  <si>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</si>
  <si>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</si>
  <si>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</si>
  <si>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</si>
  <si>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</si>
  <si>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</si>
  <si>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</si>
  <si>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</si>
  <si>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</si>
  <si>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</si>
  <si>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</si>
  <si>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</si>
  <si>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</si>
  <si>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</si>
  <si>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</si>
  <si>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</si>
  <si>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</si>
  <si>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</si>
  <si>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</si>
  <si>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</si>
  <si>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</si>
  <si>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</si>
  <si>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</si>
  <si>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</si>
  <si>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</si>
  <si>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</si>
  <si>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</si>
  <si>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</si>
  <si>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</si>
  <si>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</si>
  <si>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</si>
  <si>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</si>
  <si>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</si>
  <si>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</si>
  <si>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</si>
  <si>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</si>
  <si>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</si>
  <si>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</si>
  <si>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</si>
  <si>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</si>
  <si>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</si>
  <si>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</si>
  <si>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</si>
  <si>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</si>
  <si>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</si>
  <si>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</si>
  <si>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</si>
  <si>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</si>
  <si>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</si>
  <si>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</si>
  <si>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</si>
  <si>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</si>
  <si>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</si>
  <si>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</si>
  <si>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</si>
  <si>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</si>
  <si>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</si>
  <si>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</si>
  <si>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</si>
  <si>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</si>
  <si>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</si>
  <si>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</si>
  <si>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</si>
  <si>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</si>
  <si>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</si>
  <si>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</si>
  <si>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</si>
  <si>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</si>
  <si>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</si>
  <si>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</si>
  <si>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</si>
  <si>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</si>
  <si>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</si>
  <si>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</si>
  <si>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</si>
  <si>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</si>
  <si>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</si>
  <si>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</si>
  <si>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</si>
  <si>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</si>
  <si>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</si>
  <si>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</si>
  <si>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</si>
  <si>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</si>
  <si>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</si>
  <si>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</si>
  <si>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</si>
  <si>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</si>
  <si>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</si>
  <si>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</si>
  <si>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</si>
  <si>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</si>
  <si>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</si>
  <si>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</si>
  <si>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</si>
  <si>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</si>
  <si>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</si>
  <si>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</si>
  <si>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</si>
  <si>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</si>
  <si>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</si>
  <si>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</si>
  <si>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</si>
  <si>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</si>
  <si>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</si>
  <si>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</si>
  <si>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</si>
  <si>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</si>
  <si>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</si>
  <si>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</si>
  <si>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</si>
  <si>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</si>
  <si>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</si>
  <si>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</si>
  <si>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</si>
  <si>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</si>
  <si>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</si>
  <si>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</si>
  <si>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</si>
  <si>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</si>
  <si>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</si>
  <si>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</si>
  <si>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</si>
  <si>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</si>
  <si>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</si>
  <si>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PHW Capital Schemes:</t>
  </si>
  <si>
    <t xml:space="preserve">Screening Equipment Replacement (BTW Imaging Equip) </t>
  </si>
  <si>
    <t>Hosted Capital Schemes:</t>
  </si>
  <si>
    <t>(EFAB) - Fire Compliance Works</t>
  </si>
  <si>
    <t>(EFAB) - Decarbonisation Scheme</t>
  </si>
  <si>
    <t>Dean Phillips</t>
  </si>
  <si>
    <t>Chris Orr</t>
  </si>
  <si>
    <t>Hosted (NHS Wales Health Collaborative) Capital Schemes:</t>
  </si>
  <si>
    <t xml:space="preserve">(EFAB) - Decarbonisation Scheme </t>
  </si>
  <si>
    <t>Ruth Maddern</t>
  </si>
  <si>
    <t>PHW</t>
  </si>
  <si>
    <t>HOSTED</t>
  </si>
  <si>
    <t xml:space="preserve">Per WG Pay Circular confirmed in 2022-23 </t>
  </si>
  <si>
    <t>Agreed in M12 AoB</t>
  </si>
  <si>
    <t xml:space="preserve">Agreed in M12 AoB. </t>
  </si>
  <si>
    <t>Directorate Savings Schemes - Various Pay Schemes</t>
  </si>
  <si>
    <t>Directorate Savings Schemes - Various  Non Pay Schemes</t>
  </si>
  <si>
    <t>Corporate Savings Schemes - Efficiency Scheme</t>
  </si>
  <si>
    <t>2023-24 5% pay award to be paid from July (July to include backdated element)</t>
  </si>
  <si>
    <t>TBC</t>
  </si>
  <si>
    <t>WG Pay Circular: Pay Letter AfC(W) 04/2023</t>
  </si>
  <si>
    <t>WG Pay Circular: 05/2023 - AFC recovery payment</t>
  </si>
  <si>
    <t>M1-3 Consolidated pay award (1.5%) (based on actuals paid to date)</t>
  </si>
  <si>
    <t>2022-23 Recovery Paymemt Funding (based on actuals paid in M3)</t>
  </si>
  <si>
    <t>As confirmed on non-cash submission 30-06-2023</t>
  </si>
  <si>
    <t>As confirmed on non-cash submission 30-06-2023. £1.490m billed to date.</t>
  </si>
  <si>
    <t>Screening Recovery Funding 2023-24</t>
  </si>
  <si>
    <t>Healthy Working Wales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</si>
  <si>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</si>
  <si>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</si>
  <si>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</si>
  <si>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</si>
  <si>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</si>
  <si>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</si>
  <si>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</si>
  <si>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Entered in P01 - Invoice raised for P01 - P02</t>
  </si>
  <si>
    <t xml:space="preserve">WG contacts: Gareth Haven &amp; Naheed Hussain </t>
  </si>
  <si>
    <t>Current planned return of revenue for IFRS 16 adjustment</t>
  </si>
  <si>
    <t>WG funding not yet confirmed - Healthy Working Wales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</si>
</sst>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4375" defaultRowHeight="20.149999999999999" customHeight="1"/>
  <cols>
    <col min="1" max="1" width="8.84375" style="1924"/>
    <col min="2" max="2" width="37.07421875" style="1924" bestFit="1" customWidth="1"/>
    <col min="3" max="4" width="9.84375" style="1924" customWidth="1"/>
    <col min="5" max="6" width="8.84375" style="1924"/>
    <col min="7" max="7" width="11.4609375" style="1924" customWidth="1"/>
    <col min="8" max="8" width="12.07421875" style="1924" customWidth="1"/>
    <col min="9" max="12" width="8.84375" style="1924"/>
    <col min="13" max="13" width="6.07421875" style="1924" customWidth="1"/>
    <col min="14" max="14" width="94.53515625" style="1924" customWidth="1"/>
    <col min="15" max="18" width="8.53515625" style="1924" customWidth="1"/>
    <col min="19" max="20" width="8.84375" style="1924"/>
    <col min="21" max="21" width="6.07421875" style="1924" customWidth="1"/>
    <col min="22" max="22" width="92.84375" style="1924" customWidth="1"/>
    <col min="23" max="34" width="9.84375" style="1924" customWidth="1"/>
    <col min="35" max="39" width="8.53515625" style="1924" customWidth="1"/>
    <col min="40" max="42" width="8.84375" style="1924"/>
    <col min="43" max="43" width="52.15234375" style="1924" bestFit="1" customWidth="1"/>
    <col min="44" max="52" width="8.84375" style="1924"/>
    <col min="53" max="53" width="56.07421875" style="1924" customWidth="1"/>
    <col min="54" max="55" width="12.07421875" style="1924" customWidth="1"/>
    <col min="56" max="57" width="6.07421875" style="1924" customWidth="1"/>
    <col min="58" max="58" width="60.53515625" style="1924" bestFit="1" customWidth="1"/>
    <col min="59" max="59" width="30.15234375" style="1924" bestFit="1" customWidth="1"/>
    <col min="60" max="60" width="11.07421875" style="1924" customWidth="1"/>
    <col min="61" max="61" width="8.15234375" style="1924" customWidth="1"/>
    <col min="62" max="72" width="8.84375" style="1924"/>
    <col min="73" max="73" width="10.84375" style="1924" customWidth="1"/>
    <col min="74" max="76" width="8.84375" style="1924" customWidth="1"/>
    <col min="77" max="77" width="98.15234375" style="1924" bestFit="1" customWidth="1"/>
    <col min="78" max="91" width="8.84375" style="1924" customWidth="1"/>
    <col min="92" max="93" width="8.84375" style="1924"/>
    <col min="94" max="94" width="45.53515625" style="1924" bestFit="1" customWidth="1"/>
    <col min="95" max="110" width="8.84375" style="1924"/>
    <col min="111" max="111" width="80.84375" style="2826" bestFit="1" customWidth="1"/>
    <col min="112" max="128" width="8.84375" style="1924"/>
    <col min="129" max="129" width="9.15234375" style="1924" customWidth="1"/>
    <col min="130" max="130" width="14.84375" style="1924" customWidth="1"/>
    <col min="131" max="131" width="16" style="1924" customWidth="1"/>
    <col min="132" max="149" width="8.84375" style="1924"/>
    <col min="150" max="152" width="9.4609375" style="1924" customWidth="1"/>
    <col min="153" max="177" width="8.84375" style="1924"/>
    <col min="178" max="178" width="31.15234375" style="1924" bestFit="1" customWidth="1"/>
    <col min="179" max="185" width="11" style="1924" customWidth="1"/>
    <col min="186" max="188" width="8.84375" style="1924"/>
    <col min="189" max="189" width="44.07421875" style="1924" bestFit="1" customWidth="1"/>
    <col min="190" max="190" width="15.4609375" style="1924" customWidth="1"/>
    <col min="191" max="193" width="10.4609375" style="1924" customWidth="1"/>
    <col min="194" max="194" width="13.15234375" style="1924" bestFit="1" customWidth="1"/>
    <col min="195" max="195" width="13.84375" style="1924" bestFit="1" customWidth="1"/>
    <col min="196" max="196" width="16.15234375" style="1924" bestFit="1" customWidth="1"/>
    <col min="197" max="197" width="15.84375" style="1924" bestFit="1" customWidth="1"/>
    <col min="198" max="198" width="14.84375" style="1924" bestFit="1" customWidth="1"/>
    <col min="199" max="199" width="15.4609375" style="1924" bestFit="1" customWidth="1"/>
    <col min="200" max="202" width="8.84375" style="1924"/>
    <col min="203" max="203" width="39.4609375" style="1924" customWidth="1"/>
    <col min="204" max="223" width="8.84375" style="1924"/>
    <col min="224" max="224" width="64.4609375" style="1924" bestFit="1" customWidth="1"/>
    <col min="225" max="227" width="18" style="1924" customWidth="1"/>
    <col min="228" max="230" width="8.84375" style="1924"/>
    <col min="231" max="231" width="49.15234375" style="1924" bestFit="1" customWidth="1"/>
    <col min="232" max="244" width="10.84375" style="1924" customWidth="1"/>
    <col min="245" max="246" width="8.84375" style="1924"/>
    <col min="247" max="247" width="16.15234375" style="1924" bestFit="1" customWidth="1"/>
    <col min="248" max="248" width="50.4609375" style="1924" bestFit="1" customWidth="1"/>
    <col min="249" max="258" width="9.15234375" style="1924" customWidth="1"/>
    <col min="259" max="263" width="8.84375" style="1924"/>
    <col min="264" max="264" width="10.15234375" style="1924" customWidth="1"/>
    <col min="265" max="265" width="29.15234375" style="1924" customWidth="1"/>
    <col min="266" max="266" width="35.15234375" style="1924" bestFit="1" customWidth="1"/>
    <col min="267" max="267" width="7.8437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84375" style="1924"/>
    <col min="278" max="296" width="9.84375" style="1924" customWidth="1"/>
    <col min="297" max="299" width="8.84375" style="1924"/>
    <col min="300" max="300" width="25" style="1924" customWidth="1"/>
    <col min="301" max="302" width="35.15234375" style="1924" bestFit="1" customWidth="1"/>
    <col min="303" max="303" width="15.53515625" style="1924" bestFit="1" customWidth="1"/>
    <col min="304" max="307" width="13.84375" style="1924" customWidth="1"/>
    <col min="308" max="311" width="8.4609375" style="1924" customWidth="1"/>
    <col min="312" max="312" width="8.07421875" style="1924" bestFit="1" customWidth="1"/>
    <col min="313" max="313" width="6.84375" style="1924" bestFit="1" customWidth="1"/>
    <col min="314" max="314" width="8.4609375" style="1924" customWidth="1"/>
    <col min="315" max="315" width="8.84375" style="1924"/>
    <col min="316" max="317" width="8.84375" style="1946"/>
    <col min="318" max="318" width="49.84375" style="1946" bestFit="1" customWidth="1"/>
    <col min="319" max="323" width="8.84375" style="1946"/>
    <col min="324" max="324" width="8.84375" style="1924"/>
    <col min="325" max="325" width="9.15234375" style="1924" customWidth="1"/>
    <col min="326" max="326" width="7.15234375" style="1924" bestFit="1" customWidth="1"/>
    <col min="327" max="327" width="11.84375" style="1924" bestFit="1" customWidth="1"/>
    <col min="328" max="329" width="10.15234375" style="1924" bestFit="1" customWidth="1"/>
    <col min="330" max="330" width="20.07421875" style="1924" customWidth="1"/>
    <col min="331" max="331" width="11" style="1924" customWidth="1"/>
    <col min="332" max="332" width="13.84375" style="1924" customWidth="1"/>
    <col min="333" max="333" width="11.53515625" style="1924" customWidth="1"/>
    <col min="334" max="334" width="56.07421875" style="1924" bestFit="1" customWidth="1"/>
    <col min="335" max="335" width="8.84375" style="1924"/>
    <col min="336" max="336" width="59.15234375" style="1924" customWidth="1"/>
    <col min="337" max="337" width="30.84375" style="1924" customWidth="1"/>
    <col min="338" max="338" width="11.53515625" style="1924" customWidth="1"/>
    <col min="339" max="342" width="16" style="1924" customWidth="1"/>
    <col min="343" max="343" width="3.84375" style="1924" customWidth="1"/>
    <col min="344" max="344" width="15.84375" style="1924" customWidth="1"/>
    <col min="345" max="345" width="8.84375" style="1924"/>
    <col min="346" max="346" width="55.15234375" style="1924" customWidth="1"/>
    <col min="347" max="347" width="15.07421875" style="1924" customWidth="1"/>
    <col min="348" max="348" width="8.84375" style="1924"/>
    <col min="349" max="352" width="15.84375" style="1924" customWidth="1"/>
    <col min="353" max="353" width="2.53515625" style="1924" customWidth="1"/>
    <col min="354" max="354" width="15.84375" style="1924" customWidth="1"/>
    <col min="355" max="356" width="8.84375" style="1924"/>
    <col min="357" max="357" width="71.07421875" style="1924" customWidth="1"/>
    <col min="358" max="358" width="26.15234375" style="1924" customWidth="1"/>
    <col min="359" max="359" width="11.15234375" style="1924" customWidth="1"/>
    <col min="360" max="360" width="10.84375" style="1924" customWidth="1"/>
    <col min="361" max="364" width="8.84375" style="1924"/>
    <col min="365" max="365" width="11.84375" style="1924" customWidth="1"/>
    <col min="366" max="16384" width="8.84375" style="1924"/>
  </cols>
  <sheetData>
    <row r="1" spans="1:376" ht="30" customHeight="1">
      <c r="A1" s="1919" t="str">
        <f>Summary!A1</f>
        <v>Public Health Wales Trust</v>
      </c>
      <c r="B1" s="1919"/>
      <c r="C1" s="1920"/>
      <c r="D1" s="1921"/>
      <c r="E1" s="1921"/>
      <c r="F1" s="1921"/>
      <c r="G1" s="1922" t="str">
        <f>Summary!G1</f>
        <v>Period :</v>
      </c>
      <c r="H1" s="1923" t="str">
        <f>Summary!H1</f>
        <v>Jun 23</v>
      </c>
      <c r="I1" s="1921"/>
      <c r="J1" s="1921"/>
      <c r="K1" s="1921"/>
      <c r="M1" s="1919" t="str">
        <f>'A - Movement'!A1</f>
        <v>Public Health Wales Trust</v>
      </c>
      <c r="N1" s="1925"/>
      <c r="O1" s="1925"/>
      <c r="P1" s="1925"/>
      <c r="Q1" s="1925"/>
      <c r="R1" s="1925" t="str">
        <f>'A - Movement'!E1</f>
        <v>Period :</v>
      </c>
      <c r="S1" s="1926" t="str">
        <f>'A - Movement'!F1</f>
        <v>Jun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Jun 23</v>
      </c>
      <c r="AN1" s="1926"/>
      <c r="AO1" s="1927"/>
      <c r="AP1" s="127" t="str">
        <f>'A1 - Underlying Position'!A1</f>
        <v>Public Health Wales Trust</v>
      </c>
      <c r="AQ1" s="150"/>
      <c r="AR1" s="1377"/>
      <c r="AS1" s="1377"/>
      <c r="AT1" s="1378"/>
      <c r="AU1" s="1378"/>
      <c r="AV1" s="1377" t="str">
        <f>'A1 - Underlying Position'!G1</f>
        <v>Period :</v>
      </c>
      <c r="AW1" s="1416" t="str">
        <f>'A1 - Underlying Position'!H1</f>
        <v>Jun 23</v>
      </c>
      <c r="AX1" s="1744"/>
      <c r="AZ1" s="79" t="str">
        <f>'A2 - Risks'!A1</f>
        <v>Public Health Wales Trust</v>
      </c>
      <c r="BA1" s="71"/>
      <c r="BB1" s="70" t="str">
        <f>'A2 - Risks'!C1</f>
        <v xml:space="preserve">Period : </v>
      </c>
      <c r="BC1" s="151" t="str">
        <f>'A2 - Risks'!D1</f>
        <v>Jun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Jun 23</v>
      </c>
      <c r="CL1" s="80"/>
      <c r="CM1" s="80"/>
      <c r="CO1" s="1357" t="str">
        <f>'B2 - Pay &amp; Agency'!A1</f>
        <v>Public Health Wales Trust</v>
      </c>
      <c r="CP1" s="373"/>
      <c r="CQ1" s="80"/>
      <c r="CR1" s="373" t="str">
        <f>'B2 - Pay &amp; Agency'!D1</f>
        <v xml:space="preserve">Period :  </v>
      </c>
      <c r="CS1" s="1303" t="str">
        <f>'B2 - Pay &amp; Agency'!E1</f>
        <v>Jun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Jun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Jun 23</v>
      </c>
      <c r="HL1" s="71"/>
      <c r="HM1" s="71"/>
      <c r="HO1" s="1919" t="str">
        <f>'F - SoFP'!A1</f>
        <v>Public Health Wales Trust</v>
      </c>
      <c r="HP1" s="1744"/>
      <c r="HQ1" s="1935" t="str">
        <f>'F - SoFP'!C1</f>
        <v>Period :</v>
      </c>
      <c r="HR1" s="1936" t="str">
        <f>'F - SoFP'!D1</f>
        <v>Jun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Jun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Jun 23</v>
      </c>
      <c r="JB1" s="1744"/>
      <c r="JD1" s="1919" t="str">
        <f>'I - Capital RLM'!A1</f>
        <v>Public Health Wales Trust</v>
      </c>
      <c r="JE1" s="1744"/>
      <c r="JF1" s="1744"/>
      <c r="JG1" s="1744"/>
      <c r="JH1" s="1744"/>
      <c r="JI1" s="1942"/>
      <c r="JJ1" s="1744"/>
      <c r="JK1" s="1939" t="str">
        <f>'I - Capital RLM'!H1</f>
        <v xml:space="preserve">Period : </v>
      </c>
      <c r="JL1" s="1923" t="str">
        <f>'I - Capital RLM'!I1</f>
        <v>Jun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Jun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Jun 23</v>
      </c>
      <c r="LB1" s="1744"/>
      <c r="LC1" s="1945"/>
      <c r="LE1" s="1357" t="str">
        <f>'L - EFL'!A1</f>
        <v>Public Health Wales Trust</v>
      </c>
      <c r="LF1" s="1641"/>
      <c r="LG1" s="71"/>
      <c r="LH1" s="150" t="str">
        <f>'L - EFL'!D1</f>
        <v xml:space="preserve">Period :  </v>
      </c>
      <c r="LI1" s="1640" t="str">
        <f>'L - EFL'!E1</f>
        <v>Jun 23</v>
      </c>
      <c r="LJ1" s="71"/>
      <c r="LL1" s="1747"/>
      <c r="LM1" s="810" t="str">
        <f>'M - Aged Debtors'!B1</f>
        <v>Public Health Wales Trust</v>
      </c>
      <c r="LN1" s="881"/>
      <c r="LO1" s="882"/>
      <c r="LP1" s="882"/>
      <c r="LQ1" s="1159"/>
      <c r="LR1" s="1748"/>
      <c r="LS1" s="814"/>
      <c r="LT1" s="1145" t="s">
        <v>461</v>
      </c>
      <c r="LU1" s="988" t="str">
        <f>'M - Aged Debtors'!J1</f>
        <v>Jun 23</v>
      </c>
      <c r="LV1" s="1747"/>
      <c r="LX1" s="421" t="str">
        <f>'N - GMS'!A1</f>
        <v>Public Health Wales Trust</v>
      </c>
      <c r="LY1" s="69"/>
      <c r="LZ1" s="422"/>
      <c r="MA1" s="423" t="str">
        <f>'N - GMS'!D1</f>
        <v>Period :</v>
      </c>
      <c r="MB1" s="423" t="str">
        <f>'N - GMS'!E1</f>
        <v>Jun 23</v>
      </c>
      <c r="MC1" s="423"/>
      <c r="MD1" s="423"/>
      <c r="ME1" s="423"/>
      <c r="MF1" s="423"/>
      <c r="MH1" s="421" t="str">
        <f>'O - Dental'!A1</f>
        <v>Public Health Wales Trust</v>
      </c>
      <c r="MI1" s="80"/>
      <c r="MJ1" s="684"/>
      <c r="MK1" s="685"/>
      <c r="ML1" s="685"/>
      <c r="MM1" s="423" t="str">
        <f>'O - Dental'!F1</f>
        <v>Period :</v>
      </c>
      <c r="MN1" s="423" t="str">
        <f>'O - Dental'!G1</f>
        <v>Jun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Jun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Jun 23 =</v>
      </c>
      <c r="LT2" s="1162">
        <f>'M - Aged Debtors'!I2</f>
        <v>45030</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Jun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Jun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Jun 23</v>
      </c>
      <c r="FS3" s="1931"/>
      <c r="FU3" s="1939"/>
      <c r="FV3" s="1939"/>
      <c r="FW3" s="1744"/>
      <c r="FX3" s="1744"/>
      <c r="FY3" s="1744"/>
      <c r="FZ3" s="1744"/>
      <c r="GA3" s="1744"/>
      <c r="GB3" s="1925" t="str">
        <f>'D - Welsh NHS Assumptions'!H3</f>
        <v>Period :</v>
      </c>
      <c r="GC3" s="1940" t="str">
        <f>'D - Welsh NHS Assumptions'!I3</f>
        <v>Jun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Jun 23 =</v>
      </c>
      <c r="LT3" s="1164">
        <f>'M - Aged Debtors'!I3</f>
        <v>44988</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3</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0</v>
      </c>
      <c r="CD6" s="107">
        <f>' Table Z Net Exp Profiles'!G6</f>
        <v>0</v>
      </c>
      <c r="CE6" s="107">
        <f>' Table Z Net Exp Profiles'!H6</f>
        <v>0</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Betsi Cadwaladr ULHB</v>
      </c>
      <c r="LN6" s="1761">
        <f>'M - Aged Debtors'!C6</f>
        <v>50054375</v>
      </c>
      <c r="LO6" s="1762">
        <f>'M - Aged Debtors'!D6</f>
        <v>45005</v>
      </c>
      <c r="LP6" s="1763">
        <f>'M - Aged Debtors'!E6</f>
        <v>10500</v>
      </c>
      <c r="LQ6" s="1971">
        <f>'M - Aged Debtors'!F6</f>
        <v>10500</v>
      </c>
      <c r="LR6" s="1165" t="str">
        <f>'M - Aged Debtors'!G6</f>
        <v>Yes, valid entry for period</v>
      </c>
      <c r="LS6" s="826">
        <f>'M - Aged Debtors'!H6</f>
        <v>10500</v>
      </c>
      <c r="LT6" s="826" t="str">
        <f>'M - Aged Debtors'!I6</f>
        <v/>
      </c>
      <c r="LU6" s="827">
        <f>'M - Aged Debtors'!J6</f>
        <v>45124</v>
      </c>
      <c r="LV6" s="1756" t="str">
        <f>'M - Aged Debtors'!K6</f>
        <v>Agreed in M12 AoB</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Jun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1809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Cwm Taf Morgannwg ULHB</v>
      </c>
      <c r="LN7" s="1761">
        <f>'M - Aged Debtors'!C7</f>
        <v>50054374</v>
      </c>
      <c r="LO7" s="1762">
        <f>'M - Aged Debtors'!D7</f>
        <v>45005</v>
      </c>
      <c r="LP7" s="1763">
        <f>'M - Aged Debtors'!E7</f>
        <v>10500</v>
      </c>
      <c r="LQ7" s="1971">
        <f>'M - Aged Debtors'!F7</f>
        <v>10500</v>
      </c>
      <c r="LR7" s="1165" t="str">
        <f>'M - Aged Debtors'!G7</f>
        <v>Yes, valid entry for period</v>
      </c>
      <c r="LS7" s="828">
        <f>'M - Aged Debtors'!H7</f>
        <v>10500</v>
      </c>
      <c r="LT7" s="828" t="str">
        <f>'M - Aged Debtors'!I7</f>
        <v/>
      </c>
      <c r="LU7" s="829">
        <f>'M - Aged Debtors'!J7</f>
        <v>45124</v>
      </c>
      <c r="LV7" s="1756" t="str">
        <f>'M - Aged Debtors'!K7</f>
        <v>Agreed in M12 AoB</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1595.25</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v>
      </c>
      <c r="IS8" s="958">
        <f>'H - PSPP'!G8</f>
        <v>-0.95</v>
      </c>
      <c r="IT8" s="1759">
        <f>'H - PSPP'!H8</f>
        <v>0</v>
      </c>
      <c r="IU8" s="958">
        <f>'H - PSPP'!I8</f>
        <v>-0.95</v>
      </c>
      <c r="IV8" s="1759">
        <f>'H - PSPP'!J8</f>
        <v>0</v>
      </c>
      <c r="IW8" s="958">
        <f>'H - PSPP'!K8</f>
        <v>-0.95</v>
      </c>
      <c r="IX8" s="1759">
        <f>'H - PSPP'!L8</f>
        <v>0.99770000000000003</v>
      </c>
      <c r="IY8" s="958">
        <f>'H - PSPP'!M8</f>
        <v>4.7700000000000076E-2</v>
      </c>
      <c r="IZ8" s="1759">
        <f>'H - PSPP'!N8</f>
        <v>0.95</v>
      </c>
      <c r="JA8" s="958">
        <f>'H - PSPP'!O8</f>
        <v>0</v>
      </c>
      <c r="JB8" s="1744"/>
      <c r="JD8" s="1744"/>
      <c r="JE8" s="1925" t="str">
        <f>'I - Capital RLM'!B8</f>
        <v xml:space="preserve">Approved CRL / CEL issued at : </v>
      </c>
      <c r="JF8" s="1992">
        <f>'I - Capital RLM'!C8</f>
        <v>45071</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Digital Health Care Wales</v>
      </c>
      <c r="LN8" s="1761">
        <f>'M - Aged Debtors'!C8</f>
        <v>50054421</v>
      </c>
      <c r="LO8" s="1762">
        <f>'M - Aged Debtors'!D8</f>
        <v>45007</v>
      </c>
      <c r="LP8" s="1763">
        <f>'M - Aged Debtors'!E8</f>
        <v>21989.83</v>
      </c>
      <c r="LQ8" s="1971">
        <f>'M - Aged Debtors'!F8</f>
        <v>21200.02</v>
      </c>
      <c r="LR8" s="1165" t="str">
        <f>'M - Aged Debtors'!G8</f>
        <v>Yes, valid entry for period</v>
      </c>
      <c r="LS8" s="828">
        <f>'M - Aged Debtors'!H8</f>
        <v>21200.02</v>
      </c>
      <c r="LT8" s="828" t="str">
        <f>'M - Aged Debtors'!I8</f>
        <v/>
      </c>
      <c r="LU8" s="829">
        <f>'M - Aged Debtors'!J8</f>
        <v>45126</v>
      </c>
      <c r="LV8" s="1756" t="str">
        <f>'M - Aged Debtors'!K8</f>
        <v>Agreed in M12 AoB</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0</v>
      </c>
      <c r="EF9" s="107">
        <f>'C, C1, C2&amp; C3 - Savings Schemes'!H9</f>
        <v>0</v>
      </c>
      <c r="EG9" s="107">
        <f>'C, C1, C2&amp; C3 - Savings Schemes'!I9</f>
        <v>0</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1595.25</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33775</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v>
      </c>
      <c r="IS9" s="958">
        <f>'H - PSPP'!G9</f>
        <v>-0.95</v>
      </c>
      <c r="IT9" s="1759">
        <f>'H - PSPP'!H9</f>
        <v>0</v>
      </c>
      <c r="IU9" s="958">
        <f>'H - PSPP'!I9</f>
        <v>-0.95</v>
      </c>
      <c r="IV9" s="1759">
        <f>'H - PSPP'!J9</f>
        <v>0</v>
      </c>
      <c r="IW9" s="958">
        <f>'H - PSPP'!K9</f>
        <v>-0.95</v>
      </c>
      <c r="IX9" s="1759">
        <f>'H - PSPP'!L9</f>
        <v>0.98819999999999997</v>
      </c>
      <c r="IY9" s="958">
        <f>'H - PSPP'!M9</f>
        <v>3.8200000000000012E-2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t="str">
        <f>'M - Aged Debtors'!B9</f>
        <v>Digital Health Care Wales</v>
      </c>
      <c r="LN9" s="1761">
        <f>'M - Aged Debtors'!C9</f>
        <v>60005038</v>
      </c>
      <c r="LO9" s="1762">
        <f>'M - Aged Debtors'!D9</f>
        <v>45007</v>
      </c>
      <c r="LP9" s="1763">
        <f>'M - Aged Debtors'!E9</f>
        <v>-21176.55</v>
      </c>
      <c r="LQ9" s="1971">
        <f>'M - Aged Debtors'!F9</f>
        <v>-21176.55</v>
      </c>
      <c r="LR9" s="1165" t="str">
        <f>'M - Aged Debtors'!G9</f>
        <v>Yes, valid entry for period</v>
      </c>
      <c r="LS9" s="828">
        <f>'M - Aged Debtors'!H9</f>
        <v>-21176.55</v>
      </c>
      <c r="LT9" s="828" t="str">
        <f>'M - Aged Debtors'!I9</f>
        <v/>
      </c>
      <c r="LU9" s="829">
        <f>'M - Aged Debtors'!J9</f>
        <v>45126</v>
      </c>
      <c r="LV9" s="1756" t="str">
        <f>'M - Aged Debtors'!K9</f>
        <v>Agreed in M12 AoB</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6070.7792499999996</v>
      </c>
      <c r="CU10" s="1768">
        <f>'B2 - Pay &amp; Agency'!G10</f>
        <v>6093.8004166666669</v>
      </c>
      <c r="CV10" s="1768">
        <f>'B2 - Pay &amp; Agency'!H10</f>
        <v>6113.3547349999999</v>
      </c>
      <c r="CW10" s="1768">
        <f>'B2 - Pay &amp; Agency'!I10</f>
        <v>6171.1976350000004</v>
      </c>
      <c r="CX10" s="1768">
        <f>'B2 - Pay &amp; Agency'!J10</f>
        <v>6171.1976350000004</v>
      </c>
      <c r="CY10" s="1768">
        <f>'B2 - Pay &amp; Agency'!K10</f>
        <v>6171.1976350000004</v>
      </c>
      <c r="CZ10" s="1768">
        <f>'B2 - Pay &amp; Agency'!L10</f>
        <v>6163.1976350000004</v>
      </c>
      <c r="DA10" s="1768">
        <f>'B2 - Pay &amp; Agency'!M10</f>
        <v>6156.3547349999999</v>
      </c>
      <c r="DB10" s="1769">
        <f>'B2 - Pay &amp; Agency'!N10</f>
        <v>6266.4944999999998</v>
      </c>
      <c r="DC10" s="1131">
        <f>'B2 - Pay &amp; Agency'!O10</f>
        <v>19520</v>
      </c>
      <c r="DD10" s="1322">
        <f>'B2 - Pay &amp; Agency'!P10</f>
        <v>74897.574176666676</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28.241</v>
      </c>
      <c r="DL10" s="1902">
        <f>'B3 - COVID-19'!G10</f>
        <v>69.998833333333323</v>
      </c>
      <c r="DM10" s="1902">
        <f>'B3 - COVID-19'!H10</f>
        <v>86.553151666666679</v>
      </c>
      <c r="DN10" s="1902">
        <f>'B3 - COVID-19'!I10</f>
        <v>89.396051666666665</v>
      </c>
      <c r="DO10" s="1902">
        <f>'B3 - COVID-19'!J10</f>
        <v>89.396051666666665</v>
      </c>
      <c r="DP10" s="1902">
        <f>'B3 - COVID-19'!K10</f>
        <v>89.396051666666665</v>
      </c>
      <c r="DQ10" s="1902">
        <f>'B3 - COVID-19'!L10</f>
        <v>89.396051666666665</v>
      </c>
      <c r="DR10" s="1902">
        <f>'B3 - COVID-19'!M10</f>
        <v>86.553151666666679</v>
      </c>
      <c r="DS10" s="1902">
        <f>'B3 - COVID-19'!N10</f>
        <v>84.692916666666676</v>
      </c>
      <c r="DT10" s="1862">
        <f>'B3 - COVID-19'!O10</f>
        <v>58.929069999999996</v>
      </c>
      <c r="DU10" s="1862">
        <f>'B3 - COVID-19'!P10</f>
        <v>772.55232999999998</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4180</v>
      </c>
      <c r="HH10" s="1770">
        <f>'E1 - Invoiced Income'!O10</f>
        <v>2075</v>
      </c>
      <c r="HI10" s="1770">
        <f>'E1 - Invoiced Income'!P10</f>
        <v>189999.26853396173</v>
      </c>
      <c r="HJ10" s="1770">
        <f>'E1 - Invoiced Income'!R10</f>
        <v>190</v>
      </c>
      <c r="HK10" s="1770">
        <f>'E1 - Invoiced Income'!S10</f>
        <v>0</v>
      </c>
      <c r="HL10" s="1658">
        <f>'E1 - Invoiced Income'!T10</f>
        <v>222574.26853396173</v>
      </c>
      <c r="HM10" s="157">
        <f>'E1 - Invoiced Income'!U10</f>
        <v>0</v>
      </c>
      <c r="HO10" s="2006">
        <f>'F - SoFP'!A10</f>
        <v>2</v>
      </c>
      <c r="HP10" s="2007" t="str">
        <f>'F - SoFP'!B10</f>
        <v>Intangible assets</v>
      </c>
      <c r="HQ10" s="2008">
        <f>'F - SoFP'!C10</f>
        <v>869</v>
      </c>
      <c r="HR10" s="2009">
        <f>'F - SoFP'!D10</f>
        <v>869</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v>
      </c>
      <c r="IS10" s="958">
        <f>'H - PSPP'!G10</f>
        <v>-0.95</v>
      </c>
      <c r="IT10" s="1759">
        <f>'H - PSPP'!H10</f>
        <v>0</v>
      </c>
      <c r="IU10" s="958">
        <f>'H - PSPP'!I10</f>
        <v>-0.95</v>
      </c>
      <c r="IV10" s="1759">
        <f>'H - PSPP'!J10</f>
        <v>0</v>
      </c>
      <c r="IW10" s="958">
        <f>'H - PSPP'!K10</f>
        <v>-0.95</v>
      </c>
      <c r="IX10" s="1759">
        <f>'H - PSPP'!L10</f>
        <v>0.94730000000000003</v>
      </c>
      <c r="IY10" s="958">
        <f>'H - PSPP'!M10</f>
        <v>-2.6999999999999247E-3</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t="str">
        <f>'M - Aged Debtors'!B10</f>
        <v>Hywel Dda ULHB</v>
      </c>
      <c r="LN10" s="1761">
        <f>'M - Aged Debtors'!C10</f>
        <v>50054372</v>
      </c>
      <c r="LO10" s="1762">
        <f>'M - Aged Debtors'!D10</f>
        <v>45005</v>
      </c>
      <c r="LP10" s="1763">
        <f>'M - Aged Debtors'!E10</f>
        <v>10500</v>
      </c>
      <c r="LQ10" s="1971">
        <f>'M - Aged Debtors'!F10</f>
        <v>10500</v>
      </c>
      <c r="LR10" s="1165" t="str">
        <f>'M - Aged Debtors'!G10</f>
        <v>Yes, valid entry for period</v>
      </c>
      <c r="LS10" s="828">
        <f>'M - Aged Debtors'!H10</f>
        <v>10500</v>
      </c>
      <c r="LT10" s="828" t="str">
        <f>'M - Aged Debtors'!I10</f>
        <v/>
      </c>
      <c r="LU10" s="829">
        <f>'M - Aged Debtors'!J10</f>
        <v>45124</v>
      </c>
      <c r="LV10" s="1756" t="str">
        <f>'M - Aged Debtors'!K10</f>
        <v>Agreed in M12 AoB</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63</v>
      </c>
      <c r="D11" s="2036">
        <f>Summary!D11</f>
        <v>-1.5329998404922662E-4</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1367</v>
      </c>
      <c r="CU11" s="1776">
        <f>'B2 - Pay &amp; Agency'!G11</f>
        <v>1367</v>
      </c>
      <c r="CV11" s="1776">
        <f>'B2 - Pay &amp; Agency'!H11</f>
        <v>1373</v>
      </c>
      <c r="CW11" s="1776">
        <f>'B2 - Pay &amp; Agency'!I11</f>
        <v>1364</v>
      </c>
      <c r="CX11" s="1776">
        <f>'B2 - Pay &amp; Agency'!J11</f>
        <v>1364</v>
      </c>
      <c r="CY11" s="1776">
        <f>'B2 - Pay &amp; Agency'!K11</f>
        <v>1364</v>
      </c>
      <c r="CZ11" s="1776">
        <f>'B2 - Pay &amp; Agency'!L11</f>
        <v>1364</v>
      </c>
      <c r="DA11" s="1776">
        <f>'B2 - Pay &amp; Agency'!M11</f>
        <v>1364</v>
      </c>
      <c r="DB11" s="1777">
        <f>'B2 - Pay &amp; Agency'!N11</f>
        <v>1365</v>
      </c>
      <c r="DC11" s="1323">
        <f>'B2 - Pay &amp; Agency'!O11</f>
        <v>3796</v>
      </c>
      <c r="DD11" s="1324">
        <f>'B2 - Pay &amp; Agency'!P11</f>
        <v>16088</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v>
      </c>
      <c r="IS11" s="958">
        <f>'H - PSPP'!G11</f>
        <v>-0.95</v>
      </c>
      <c r="IT11" s="1759">
        <f>'H - PSPP'!H11</f>
        <v>0</v>
      </c>
      <c r="IU11" s="958">
        <f>'H - PSPP'!I11</f>
        <v>-0.95</v>
      </c>
      <c r="IV11" s="1759">
        <f>'H - PSPP'!J11</f>
        <v>0</v>
      </c>
      <c r="IW11" s="958">
        <f>'H - PSPP'!K11</f>
        <v>-0.95</v>
      </c>
      <c r="IX11" s="1759">
        <f>'H - PSPP'!L11</f>
        <v>0.96909999999999996</v>
      </c>
      <c r="IY11" s="958">
        <f>'H - PSPP'!M11</f>
        <v>1.9100000000000006E-2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-1.5329998404922662E-4</v>
      </c>
      <c r="LI11" s="1612">
        <f>'L - EFL'!E11</f>
        <v>-1.5329998404922662E-4</v>
      </c>
      <c r="LJ11" s="1778">
        <f>'L - EFL'!F11</f>
        <v>63</v>
      </c>
      <c r="LL11" s="813"/>
      <c r="LM11" s="1760" t="str">
        <f>'M - Aged Debtors'!B11</f>
        <v>Powys LHB</v>
      </c>
      <c r="LN11" s="1761">
        <f>'M - Aged Debtors'!C11</f>
        <v>50054336</v>
      </c>
      <c r="LO11" s="1762">
        <f>'M - Aged Debtors'!D11</f>
        <v>45005</v>
      </c>
      <c r="LP11" s="1763">
        <f>'M - Aged Debtors'!E11</f>
        <v>74.7</v>
      </c>
      <c r="LQ11" s="1971">
        <f>'M - Aged Debtors'!F11</f>
        <v>74.7</v>
      </c>
      <c r="LR11" s="1165" t="str">
        <f>'M - Aged Debtors'!G11</f>
        <v>Yes, valid entry for period</v>
      </c>
      <c r="LS11" s="828">
        <f>'M - Aged Debtors'!H11</f>
        <v>74.7</v>
      </c>
      <c r="LT11" s="828" t="str">
        <f>'M - Aged Debtors'!I11</f>
        <v/>
      </c>
      <c r="LU11" s="829">
        <f>'M - Aged Debtors'!J11</f>
        <v>45124</v>
      </c>
      <c r="LV11" s="1756" t="str">
        <f>'M - Aged Debtors'!K11</f>
        <v xml:space="preserve">Agreed in M12 AoB. </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-8404</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456</v>
      </c>
      <c r="CU12" s="1776">
        <f>'B2 - Pay &amp; Agency'!G12</f>
        <v>456</v>
      </c>
      <c r="CV12" s="1776">
        <f>'B2 - Pay &amp; Agency'!H12</f>
        <v>456</v>
      </c>
      <c r="CW12" s="1776">
        <f>'B2 - Pay &amp; Agency'!I12</f>
        <v>454</v>
      </c>
      <c r="CX12" s="1776">
        <f>'B2 - Pay &amp; Agency'!J12</f>
        <v>454</v>
      </c>
      <c r="CY12" s="1776">
        <f>'B2 - Pay &amp; Agency'!K12</f>
        <v>454</v>
      </c>
      <c r="CZ12" s="1776">
        <f>'B2 - Pay &amp; Agency'!L12</f>
        <v>454</v>
      </c>
      <c r="DA12" s="1776">
        <f>'B2 - Pay &amp; Agency'!M12</f>
        <v>454</v>
      </c>
      <c r="DB12" s="1777">
        <f>'B2 - Pay &amp; Agency'!N12</f>
        <v>463</v>
      </c>
      <c r="DC12" s="1323">
        <f>'B2 - Pay &amp; Agency'!O12</f>
        <v>1543</v>
      </c>
      <c r="DD12" s="1324">
        <f>'B2 - Pay &amp; Agency'!P12</f>
        <v>5644</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6420</v>
      </c>
      <c r="LI12" s="1612">
        <f>'L - EFL'!E12</f>
        <v>197</v>
      </c>
      <c r="LJ12" s="1778">
        <f>'L - EFL'!F12</f>
        <v>1605</v>
      </c>
      <c r="LL12" s="813"/>
      <c r="LM12" s="1760" t="str">
        <f>'M - Aged Debtors'!B12</f>
        <v>Swansea Bay ULHB</v>
      </c>
      <c r="LN12" s="1761">
        <f>'M - Aged Debtors'!C12</f>
        <v>50054376</v>
      </c>
      <c r="LO12" s="1762">
        <f>'M - Aged Debtors'!D12</f>
        <v>45005</v>
      </c>
      <c r="LP12" s="1763">
        <f>'M - Aged Debtors'!E12</f>
        <v>10500</v>
      </c>
      <c r="LQ12" s="1971">
        <f>'M - Aged Debtors'!F12</f>
        <v>10500</v>
      </c>
      <c r="LR12" s="1165" t="str">
        <f>'M - Aged Debtors'!G12</f>
        <v>Yes, valid entry for period</v>
      </c>
      <c r="LS12" s="828">
        <f>'M - Aged Debtors'!H12</f>
        <v>10500</v>
      </c>
      <c r="LT12" s="828" t="str">
        <f>'M - Aged Debtors'!I12</f>
        <v/>
      </c>
      <c r="LU12" s="829">
        <f>'M - Aged Debtors'!J12</f>
        <v>45124</v>
      </c>
      <c r="LV12" s="1756" t="str">
        <f>'M - Aged Debtors'!K12</f>
        <v>Agreed in M12 AoB</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-3602.1674421769803</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1934</v>
      </c>
      <c r="BL13" s="1782">
        <f>'B - Monthly Positions'!H13</f>
        <v>1934</v>
      </c>
      <c r="BM13" s="1782">
        <f>'B - Monthly Positions'!I13</f>
        <v>1934</v>
      </c>
      <c r="BN13" s="1782">
        <f>'B - Monthly Positions'!J13</f>
        <v>1927</v>
      </c>
      <c r="BO13" s="1782">
        <f>'B - Monthly Positions'!K13</f>
        <v>1927</v>
      </c>
      <c r="BP13" s="1782">
        <f>'B - Monthly Positions'!L13</f>
        <v>1927</v>
      </c>
      <c r="BQ13" s="1782">
        <f>'B - Monthly Positions'!M13</f>
        <v>1927</v>
      </c>
      <c r="BR13" s="1782">
        <f>'B - Monthly Positions'!N13</f>
        <v>1927</v>
      </c>
      <c r="BS13" s="1785">
        <f>'B - Monthly Positions'!O13</f>
        <v>1928</v>
      </c>
      <c r="BT13" s="1781">
        <f>'B - Monthly Positions'!P13</f>
        <v>6049</v>
      </c>
      <c r="BU13" s="1781">
        <f>'B - Monthly Positions'!Q13</f>
        <v>23414</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0</v>
      </c>
      <c r="HJ13" s="1770">
        <f>'E1 - Invoiced Income'!R13</f>
        <v>0</v>
      </c>
      <c r="HK13" s="1770">
        <f>'E1 - Invoiced Income'!S13</f>
        <v>0</v>
      </c>
      <c r="HL13" s="1661">
        <f>'E1 - Invoiced Income'!T13</f>
        <v>0</v>
      </c>
      <c r="HM13" s="1791" t="str">
        <f>'E1 - Invoiced Income'!U13</f>
        <v>As confirmed on non-cash submission 30-06-2023</v>
      </c>
      <c r="HO13" s="2083">
        <f>'F - SoFP'!A13</f>
        <v>5</v>
      </c>
      <c r="HP13" s="2084" t="str">
        <f>'F - SoFP'!B13</f>
        <v xml:space="preserve">Non-Current Assets sub total </v>
      </c>
      <c r="HQ13" s="2036">
        <f>'F - SoFP'!C13</f>
        <v>37978</v>
      </c>
      <c r="HR13" s="2036">
        <f>'F - SoFP'!D13</f>
        <v>34644</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17723.946</v>
      </c>
      <c r="IB13" s="2053">
        <f>'G - Cash Flow'!G13</f>
        <v>17723.946</v>
      </c>
      <c r="IC13" s="2053">
        <f>'G - Cash Flow'!H13</f>
        <v>17723.946</v>
      </c>
      <c r="ID13" s="2053">
        <f>'G - Cash Flow'!I13</f>
        <v>17723.946</v>
      </c>
      <c r="IE13" s="2053">
        <f>'G - Cash Flow'!J13</f>
        <v>17723.946</v>
      </c>
      <c r="IF13" s="2053">
        <f>'G - Cash Flow'!K13</f>
        <v>17723.946</v>
      </c>
      <c r="IG13" s="2053">
        <f>'G - Cash Flow'!L13</f>
        <v>17723.946</v>
      </c>
      <c r="IH13" s="2053">
        <f>'G - Cash Flow'!M13</f>
        <v>17723.946</v>
      </c>
      <c r="II13" s="2053">
        <f>'G - Cash Flow'!N13</f>
        <v>17723.946</v>
      </c>
      <c r="IJ13" s="2054">
        <f>'G - Cash Flow'!O13</f>
        <v>208475.16816999996</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50</v>
      </c>
      <c r="JU13" s="2009">
        <f>'J - Capital In Year Schemes'!E13</f>
        <v>50</v>
      </c>
      <c r="JV13" s="2009">
        <f>'J - Capital In Year Schemes'!F13</f>
        <v>2.8710200000000001</v>
      </c>
      <c r="JW13" s="2009">
        <f>'J - Capital In Year Schemes'!G13</f>
        <v>4.2888400000000004</v>
      </c>
      <c r="JX13" s="2009">
        <f>'J - Capital In Year Schemes'!H13</f>
        <v>5.09192</v>
      </c>
      <c r="JY13" s="2009">
        <f>'J - Capital In Year Schemes'!I13</f>
        <v>3.1749999999999998</v>
      </c>
      <c r="JZ13" s="2009">
        <f>'J - Capital In Year Schemes'!J13</f>
        <v>2.9750000000000001</v>
      </c>
      <c r="KA13" s="2009">
        <f>'J - Capital In Year Schemes'!K13</f>
        <v>5</v>
      </c>
      <c r="KB13" s="2009">
        <f>'J - Capital In Year Schemes'!L13</f>
        <v>5</v>
      </c>
      <c r="KC13" s="2009">
        <f>'J - Capital In Year Schemes'!M13</f>
        <v>5</v>
      </c>
      <c r="KD13" s="2009">
        <f>'J - Capital In Year Schemes'!N13</f>
        <v>5</v>
      </c>
      <c r="KE13" s="2009">
        <f>'J - Capital In Year Schemes'!O13</f>
        <v>5</v>
      </c>
      <c r="KF13" s="2009">
        <f>'J - Capital In Year Schemes'!P13</f>
        <v>5</v>
      </c>
      <c r="KG13" s="2009">
        <f>'J - Capital In Year Schemes'!Q13</f>
        <v>2</v>
      </c>
      <c r="KH13" s="2089">
        <f>'J - Capital In Year Schemes'!R13</f>
        <v>12.25178</v>
      </c>
      <c r="KI13" s="2089">
        <f>'J - Capital In Year Schemes'!S13</f>
        <v>50.401780000000002</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122</v>
      </c>
      <c r="LI13" s="1612">
        <f>'L - EFL'!E13</f>
        <v>122</v>
      </c>
      <c r="LJ13" s="1778">
        <f>'L - EFL'!F13</f>
        <v>30.47</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t="str">
        <f>'M - Aged Debtors'!K13</f>
        <v>Agreed in M12 AoB</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6808.7500000000009</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0</v>
      </c>
      <c r="BL14" s="1782">
        <f>'B - Monthly Positions'!H14</f>
        <v>0</v>
      </c>
      <c r="BM14" s="1782">
        <f>'B - Monthly Positions'!I14</f>
        <v>0</v>
      </c>
      <c r="BN14" s="1782">
        <f>'B - Monthly Positions'!J14</f>
        <v>0</v>
      </c>
      <c r="BO14" s="1782">
        <f>'B - Monthly Positions'!K14</f>
        <v>0</v>
      </c>
      <c r="BP14" s="1782">
        <f>'B - Monthly Positions'!L14</f>
        <v>0</v>
      </c>
      <c r="BQ14" s="1782">
        <f>'B - Monthly Positions'!M14</f>
        <v>0</v>
      </c>
      <c r="BR14" s="1782">
        <f>'B - Monthly Positions'!N14</f>
        <v>0</v>
      </c>
      <c r="BS14" s="1785">
        <f>'B - Monthly Positions'!O14</f>
        <v>0</v>
      </c>
      <c r="BT14" s="1781">
        <f>'B - Monthly Positions'!P14</f>
        <v>50</v>
      </c>
      <c r="BU14" s="1781">
        <f>'B - Monthly Positions'!Q14</f>
        <v>50</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268.01150000000001</v>
      </c>
      <c r="CU14" s="1776">
        <f>'B2 - Pay &amp; Agency'!G14</f>
        <v>267.62175000000002</v>
      </c>
      <c r="CV14" s="1776">
        <f>'B2 - Pay &amp; Agency'!H14</f>
        <v>267.62175000000002</v>
      </c>
      <c r="CW14" s="1776">
        <f>'B2 - Pay &amp; Agency'!I14</f>
        <v>268.62175000000002</v>
      </c>
      <c r="CX14" s="1776">
        <f>'B2 - Pay &amp; Agency'!J14</f>
        <v>268.62175000000002</v>
      </c>
      <c r="CY14" s="1776">
        <f>'B2 - Pay &amp; Agency'!K14</f>
        <v>268.62175000000002</v>
      </c>
      <c r="CZ14" s="1776">
        <f>'B2 - Pay &amp; Agency'!L14</f>
        <v>268.62175000000002</v>
      </c>
      <c r="DA14" s="1776">
        <f>'B2 - Pay &amp; Agency'!M14</f>
        <v>268.62175000000002</v>
      </c>
      <c r="DB14" s="1777">
        <f>'B2 - Pay &amp; Agency'!N14</f>
        <v>268.62175000000002</v>
      </c>
      <c r="DC14" s="1323">
        <f>'B2 - Pay &amp; Agency'!O14</f>
        <v>1019</v>
      </c>
      <c r="DD14" s="1324">
        <f>'B2 - Pay &amp; Agency'!P14</f>
        <v>3433.9855000000016</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3.0114999999999998</v>
      </c>
      <c r="DL14" s="1902">
        <f>'B3 - COVID-19'!G14</f>
        <v>2.62175</v>
      </c>
      <c r="DM14" s="1902">
        <f>'B3 - COVID-19'!H14</f>
        <v>2.62175</v>
      </c>
      <c r="DN14" s="1902">
        <f>'B3 - COVID-19'!I14</f>
        <v>2.62175</v>
      </c>
      <c r="DO14" s="1902">
        <f>'B3 - COVID-19'!J14</f>
        <v>2.62175</v>
      </c>
      <c r="DP14" s="1902">
        <f>'B3 - COVID-19'!K14</f>
        <v>2.62175</v>
      </c>
      <c r="DQ14" s="1902">
        <f>'B3 - COVID-19'!L14</f>
        <v>2.62175</v>
      </c>
      <c r="DR14" s="1902">
        <f>'B3 - COVID-19'!M14</f>
        <v>2.62175</v>
      </c>
      <c r="DS14" s="1902">
        <f>'B3 - COVID-19'!N14</f>
        <v>2.62175</v>
      </c>
      <c r="DT14" s="1862">
        <f>'B3 - COVID-19'!O14</f>
        <v>9.0067800000000009</v>
      </c>
      <c r="DU14" s="1862">
        <f>'B3 - COVID-19'!P14</f>
        <v>32.992279999999994</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1595.25</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t="str">
        <f>'E1 - Invoiced Income'!U14</f>
        <v>As confirmed on non-cash submission 30-06-2023</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0</v>
      </c>
      <c r="KB14" s="2009">
        <f>'J - Capital In Year Schemes'!L14</f>
        <v>31</v>
      </c>
      <c r="KC14" s="2009">
        <f>'J - Capital In Year Schemes'!M14</f>
        <v>31</v>
      </c>
      <c r="KD14" s="2009">
        <f>'J - Capital In Year Schemes'!N14</f>
        <v>31</v>
      </c>
      <c r="KE14" s="2009">
        <f>'J - Capital In Year Schemes'!O14</f>
        <v>31</v>
      </c>
      <c r="KF14" s="2009">
        <f>'J - Capital In Year Schemes'!P14</f>
        <v>31</v>
      </c>
      <c r="KG14" s="2009">
        <f>'J - Capital In Year Schemes'!Q14</f>
        <v>31</v>
      </c>
      <c r="KH14" s="2089">
        <f>'J - Capital In Year Schemes'!R14</f>
        <v>0</v>
      </c>
      <c r="KI14" s="2089">
        <f>'J - Capital In Year Schemes'!S14</f>
        <v>186</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3602.1672521769801</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18062.749830428413</v>
      </c>
      <c r="BL15" s="1782">
        <f>'B - Monthly Positions'!H15</f>
        <v>16960.033163761749</v>
      </c>
      <c r="BM15" s="1782">
        <f>'B - Monthly Positions'!I15</f>
        <v>17360.770678371584</v>
      </c>
      <c r="BN15" s="1782">
        <f>'B - Monthly Positions'!J15</f>
        <v>17918.215655619671</v>
      </c>
      <c r="BO15" s="1782">
        <f>'B - Monthly Positions'!K15</f>
        <v>17570.458189846995</v>
      </c>
      <c r="BP15" s="1782">
        <f>'B - Monthly Positions'!L15</f>
        <v>17869.640655619671</v>
      </c>
      <c r="BQ15" s="1782">
        <f>'B - Monthly Positions'!M15</f>
        <v>17667.215655619671</v>
      </c>
      <c r="BR15" s="1782">
        <f>'B - Monthly Positions'!N15</f>
        <v>17628.645004074318</v>
      </c>
      <c r="BS15" s="1785">
        <f>'B - Monthly Positions'!O15</f>
        <v>18657.735700619673</v>
      </c>
      <c r="BT15" s="1781">
        <f>'B - Monthly Positions'!P15</f>
        <v>47965</v>
      </c>
      <c r="BU15" s="1781">
        <f>'B - Monthly Positions'!Q15</f>
        <v>207660.46453396173</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1159</v>
      </c>
      <c r="CU15" s="1776">
        <f>'B2 - Pay &amp; Agency'!G15</f>
        <v>1159</v>
      </c>
      <c r="CV15" s="1776">
        <f>'B2 - Pay &amp; Agency'!H15</f>
        <v>1159</v>
      </c>
      <c r="CW15" s="1776">
        <f>'B2 - Pay &amp; Agency'!I15</f>
        <v>1160</v>
      </c>
      <c r="CX15" s="1776">
        <f>'B2 - Pay &amp; Agency'!J15</f>
        <v>1160</v>
      </c>
      <c r="CY15" s="1776">
        <f>'B2 - Pay &amp; Agency'!K15</f>
        <v>1160</v>
      </c>
      <c r="CZ15" s="1776">
        <f>'B2 - Pay &amp; Agency'!L15</f>
        <v>1164</v>
      </c>
      <c r="DA15" s="1776">
        <f>'B2 - Pay &amp; Agency'!M15</f>
        <v>1161</v>
      </c>
      <c r="DB15" s="1777">
        <f>'B2 - Pay &amp; Agency'!N15</f>
        <v>1161</v>
      </c>
      <c r="DC15" s="1323">
        <f>'B2 - Pay &amp; Agency'!O15</f>
        <v>3289</v>
      </c>
      <c r="DD15" s="1324">
        <f>'B2 - Pay &amp; Agency'!P15</f>
        <v>13732</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1595.25</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2214</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1892.567</v>
      </c>
      <c r="IB15" s="2053">
        <f>'G - Cash Flow'!G15</f>
        <v>1892.567</v>
      </c>
      <c r="IC15" s="2053">
        <f>'G - Cash Flow'!H15</f>
        <v>1892.567</v>
      </c>
      <c r="ID15" s="2053">
        <f>'G - Cash Flow'!I15</f>
        <v>1892.567</v>
      </c>
      <c r="IE15" s="2053">
        <f>'G - Cash Flow'!J15</f>
        <v>1892.567</v>
      </c>
      <c r="IF15" s="2053">
        <f>'G - Cash Flow'!K15</f>
        <v>1892.567</v>
      </c>
      <c r="IG15" s="2053">
        <f>'G - Cash Flow'!L15</f>
        <v>1892.567</v>
      </c>
      <c r="IH15" s="2053">
        <f>'G - Cash Flow'!M15</f>
        <v>1892.567</v>
      </c>
      <c r="II15" s="2053">
        <f>'G - Cash Flow'!N15</f>
        <v>1892.567</v>
      </c>
      <c r="IJ15" s="2054">
        <f>'G - Cash Flow'!O15</f>
        <v>25013.387339999994</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113</v>
      </c>
      <c r="KC15" s="2009">
        <f>'J - Capital In Year Schemes'!M15</f>
        <v>113</v>
      </c>
      <c r="KD15" s="2009">
        <f>'J - Capital In Year Schemes'!N15</f>
        <v>114</v>
      </c>
      <c r="KE15" s="2009">
        <f>'J - Capital In Year Schemes'!O15</f>
        <v>0</v>
      </c>
      <c r="KF15" s="2009">
        <f>'J - Capital In Year Schemes'!P15</f>
        <v>0</v>
      </c>
      <c r="KG15" s="2009">
        <f>'J - Capital In Year Schemes'!Q15</f>
        <v>0</v>
      </c>
      <c r="KH15" s="2089">
        <f>'J - Capital In Year Schemes'!R15</f>
        <v>0</v>
      </c>
      <c r="KI15" s="2089">
        <f>'J - Capital In Year Schemes'!S15</f>
        <v>340</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384.66800000000001</v>
      </c>
      <c r="BL16" s="1800">
        <f>'B - Monthly Positions'!H16</f>
        <v>383.66800000000001</v>
      </c>
      <c r="BM16" s="1800">
        <f>'B - Monthly Positions'!I16</f>
        <v>383.66800000000001</v>
      </c>
      <c r="BN16" s="1800">
        <f>'B - Monthly Positions'!J16</f>
        <v>383.66800000000001</v>
      </c>
      <c r="BO16" s="1800">
        <f>'B - Monthly Positions'!K16</f>
        <v>383.66800000000001</v>
      </c>
      <c r="BP16" s="1800">
        <f>'B - Monthly Positions'!L16</f>
        <v>383.66800000000001</v>
      </c>
      <c r="BQ16" s="1800">
        <f>'B - Monthly Positions'!M16</f>
        <v>381.66800000000001</v>
      </c>
      <c r="BR16" s="1800">
        <f>'B - Monthly Positions'!N16</f>
        <v>379.66800000000001</v>
      </c>
      <c r="BS16" s="2109">
        <f>'B - Monthly Positions'!O16</f>
        <v>379.654</v>
      </c>
      <c r="BT16" s="1799">
        <f>'B - Monthly Positions'!P16</f>
        <v>1633</v>
      </c>
      <c r="BU16" s="1799">
        <f>'B - Monthly Positions'!Q16</f>
        <v>5076.9980000000005</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1590.5953999999999</v>
      </c>
      <c r="CU16" s="1776">
        <f>'B2 - Pay &amp; Agency'!G16</f>
        <v>1579.9973166666666</v>
      </c>
      <c r="CV16" s="1776">
        <f>'B2 - Pay &amp; Agency'!H16</f>
        <v>1594.2831916666667</v>
      </c>
      <c r="CW16" s="1776">
        <f>'B2 - Pay &amp; Agency'!I16</f>
        <v>1596.2831916666667</v>
      </c>
      <c r="CX16" s="1776">
        <f>'B2 - Pay &amp; Agency'!J16</f>
        <v>1596.2831916666667</v>
      </c>
      <c r="CY16" s="1776">
        <f>'B2 - Pay &amp; Agency'!K16</f>
        <v>1596.2831916666667</v>
      </c>
      <c r="CZ16" s="1776">
        <f>'B2 - Pay &amp; Agency'!L16</f>
        <v>1596.2831916666667</v>
      </c>
      <c r="DA16" s="1776">
        <f>'B2 - Pay &amp; Agency'!M16</f>
        <v>1596.2831916666667</v>
      </c>
      <c r="DB16" s="1777">
        <f>'B2 - Pay &amp; Agency'!N16</f>
        <v>1608.2831916666667</v>
      </c>
      <c r="DC16" s="1323">
        <f>'B2 - Pay &amp; Agency'!O16</f>
        <v>5226</v>
      </c>
      <c r="DD16" s="1324">
        <f>'B2 - Pay &amp; Agency'!P16</f>
        <v>19580.575058333336</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51.173233333333322</v>
      </c>
      <c r="DL16" s="1902">
        <f>'B3 - COVID-19'!G16</f>
        <v>47.166899999999998</v>
      </c>
      <c r="DM16" s="1902">
        <f>'B3 - COVID-19'!H16</f>
        <v>61.45277500000001</v>
      </c>
      <c r="DN16" s="1902">
        <f>'B3 - COVID-19'!I16</f>
        <v>61.45277500000001</v>
      </c>
      <c r="DO16" s="1902">
        <f>'B3 - COVID-19'!J16</f>
        <v>61.45277500000001</v>
      </c>
      <c r="DP16" s="1902">
        <f>'B3 - COVID-19'!K16</f>
        <v>61.45277500000001</v>
      </c>
      <c r="DQ16" s="1902">
        <f>'B3 - COVID-19'!L16</f>
        <v>61.45277500000001</v>
      </c>
      <c r="DR16" s="1902">
        <f>'B3 - COVID-19'!M16</f>
        <v>61.45277500000001</v>
      </c>
      <c r="DS16" s="1902">
        <f>'B3 - COVID-19'!N16</f>
        <v>61.45277500000001</v>
      </c>
      <c r="DT16" s="1862">
        <f>'B3 - COVID-19'!O16</f>
        <v>87.140240000000006</v>
      </c>
      <c r="DU16" s="1862">
        <f>'B3 - COVID-19'!P16</f>
        <v>615.64979833333337</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41189</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20381.417830428414</v>
      </c>
      <c r="BL17" s="1109">
        <f>'B - Monthly Positions'!H17</f>
        <v>19277.701163761751</v>
      </c>
      <c r="BM17" s="1109">
        <f>'B - Monthly Positions'!I17</f>
        <v>19678.438678371585</v>
      </c>
      <c r="BN17" s="1109">
        <f>'B - Monthly Positions'!J17</f>
        <v>20228.883655619673</v>
      </c>
      <c r="BO17" s="1109">
        <f>'B - Monthly Positions'!K17</f>
        <v>19881.126189846997</v>
      </c>
      <c r="BP17" s="1109">
        <f>'B - Monthly Positions'!L17</f>
        <v>20180.308655619672</v>
      </c>
      <c r="BQ17" s="1109">
        <f>'B - Monthly Positions'!M17</f>
        <v>19975.883655619673</v>
      </c>
      <c r="BR17" s="1109">
        <f>'B - Monthly Positions'!N17</f>
        <v>19935.31300407432</v>
      </c>
      <c r="BS17" s="1109">
        <f>'B - Monthly Positions'!O17</f>
        <v>20965.389700619671</v>
      </c>
      <c r="BT17" s="1109">
        <f>'B - Monthly Positions'!P17</f>
        <v>55697</v>
      </c>
      <c r="BU17" s="1109">
        <f>'B - Monthly Positions'!Q17</f>
        <v>236201.46253396178</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1</v>
      </c>
      <c r="CU17" s="1776">
        <f>'B2 - Pay &amp; Agency'!G17</f>
        <v>1</v>
      </c>
      <c r="CV17" s="1776">
        <f>'B2 - Pay &amp; Agency'!H17</f>
        <v>1</v>
      </c>
      <c r="CW17" s="1776">
        <f>'B2 - Pay &amp; Agency'!I17</f>
        <v>1</v>
      </c>
      <c r="CX17" s="1776">
        <f>'B2 - Pay &amp; Agency'!J17</f>
        <v>1</v>
      </c>
      <c r="CY17" s="1776">
        <f>'B2 - Pay &amp; Agency'!K17</f>
        <v>1</v>
      </c>
      <c r="CZ17" s="1776">
        <f>'B2 - Pay &amp; Agency'!L17</f>
        <v>1</v>
      </c>
      <c r="DA17" s="1776">
        <f>'B2 - Pay &amp; Agency'!M17</f>
        <v>1</v>
      </c>
      <c r="DB17" s="1777">
        <f>'B2 - Pay &amp; Agency'!N17</f>
        <v>1</v>
      </c>
      <c r="DC17" s="1323">
        <f>'B2 - Pay &amp; Agency'!O17</f>
        <v>5</v>
      </c>
      <c r="DD17" s="1324">
        <f>'B2 - Pay &amp; Agency'!P17</f>
        <v>14</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1595.25</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30-06-2023</v>
      </c>
      <c r="HO18" s="2006">
        <f>'F - SoFP'!A18</f>
        <v>9</v>
      </c>
      <c r="HP18" s="2007" t="str">
        <f>'F - SoFP'!B18</f>
        <v>Cash and cash equivalents</v>
      </c>
      <c r="HQ18" s="2008">
        <f>'F - SoFP'!C18</f>
        <v>15569</v>
      </c>
      <c r="HR18" s="2009">
        <f>'F - SoFP'!D18</f>
        <v>15676</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0</v>
      </c>
      <c r="IB18" s="2053">
        <f>'G - Cash Flow'!G18</f>
        <v>0</v>
      </c>
      <c r="IC18" s="2053">
        <f>'G - Cash Flow'!H18</f>
        <v>0</v>
      </c>
      <c r="ID18" s="2053">
        <f>'G - Cash Flow'!I18</f>
        <v>0</v>
      </c>
      <c r="IE18" s="2053">
        <f>'G - Cash Flow'!J18</f>
        <v>0</v>
      </c>
      <c r="IF18" s="2053">
        <f>'G - Cash Flow'!K18</f>
        <v>0</v>
      </c>
      <c r="IG18" s="2053">
        <f>'G - Cash Flow'!L18</f>
        <v>0</v>
      </c>
      <c r="IH18" s="2053">
        <f>'G - Cash Flow'!M18</f>
        <v>0</v>
      </c>
      <c r="II18" s="2053">
        <f>'G - Cash Flow'!N18</f>
        <v>0</v>
      </c>
      <c r="IJ18" s="2054">
        <f>'G - Cash Flow'!O18</f>
        <v>195.28300000000002</v>
      </c>
      <c r="IK18" s="1941"/>
      <c r="IM18" s="119">
        <f>'H - PSPP'!A18</f>
        <v>5</v>
      </c>
      <c r="IN18" s="386" t="str">
        <f>'H - PSPP'!B18</f>
        <v>% of NHS Invoices Paid Within 10 Days - By Value</v>
      </c>
      <c r="IO18" s="956"/>
      <c r="IP18" s="1759">
        <f>'H - PSPP'!D18</f>
        <v>0.38490000000000002</v>
      </c>
      <c r="IQ18" s="959"/>
      <c r="IR18" s="1759">
        <f>'H - PSPP'!F18</f>
        <v>0</v>
      </c>
      <c r="IS18" s="959"/>
      <c r="IT18" s="1759">
        <f>'H - PSPP'!H18</f>
        <v>0</v>
      </c>
      <c r="IU18" s="959"/>
      <c r="IV18" s="1759">
        <f>'H - PSPP'!J18</f>
        <v>0</v>
      </c>
      <c r="IW18" s="959"/>
      <c r="IX18" s="1759">
        <f>'H - PSPP'!L18</f>
        <v>0.38490000000000002</v>
      </c>
      <c r="IY18" s="959"/>
      <c r="IZ18" s="1759">
        <f>'H - PSPP'!N18</f>
        <v>0</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10912.38615</v>
      </c>
      <c r="CU19" s="1341">
        <f>'B2 - Pay &amp; Agency'!G19</f>
        <v>10924.419483333333</v>
      </c>
      <c r="CV19" s="1341">
        <f>'B2 - Pay &amp; Agency'!H19</f>
        <v>10964.259676666667</v>
      </c>
      <c r="CW19" s="1341">
        <f>'B2 - Pay &amp; Agency'!I19</f>
        <v>11015.102576666668</v>
      </c>
      <c r="CX19" s="1341">
        <f>'B2 - Pay &amp; Agency'!J19</f>
        <v>11015.102576666668</v>
      </c>
      <c r="CY19" s="1341">
        <f>'B2 - Pay &amp; Agency'!K19</f>
        <v>11015.102576666668</v>
      </c>
      <c r="CZ19" s="1341">
        <f>'B2 - Pay &amp; Agency'!L19</f>
        <v>11011.102576666668</v>
      </c>
      <c r="DA19" s="1341">
        <f>'B2 - Pay &amp; Agency'!M19</f>
        <v>11001.259676666667</v>
      </c>
      <c r="DB19" s="1342">
        <f>'B2 - Pay &amp; Agency'!N19</f>
        <v>11133.399441666666</v>
      </c>
      <c r="DC19" s="1343">
        <f>'B2 - Pay &amp; Agency'!O19</f>
        <v>34398</v>
      </c>
      <c r="DD19" s="1344">
        <f>'B2 - Pay &amp; Agency'!P19</f>
        <v>133390.134735</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82.425733333333312</v>
      </c>
      <c r="DL19" s="1907">
        <f>'B3 - COVID-19'!G19</f>
        <v>119.78748333333333</v>
      </c>
      <c r="DM19" s="1907">
        <f>'B3 - COVID-19'!H19</f>
        <v>150.6276766666667</v>
      </c>
      <c r="DN19" s="1907">
        <f>'B3 - COVID-19'!I19</f>
        <v>153.47057666666669</v>
      </c>
      <c r="DO19" s="1907">
        <f>'B3 - COVID-19'!J19</f>
        <v>153.47057666666669</v>
      </c>
      <c r="DP19" s="1907">
        <f>'B3 - COVID-19'!K19</f>
        <v>153.47057666666669</v>
      </c>
      <c r="DQ19" s="1907">
        <f>'B3 - COVID-19'!L19</f>
        <v>153.47057666666669</v>
      </c>
      <c r="DR19" s="1907">
        <f>'B3 - COVID-19'!M19</f>
        <v>150.6276766666667</v>
      </c>
      <c r="DS19" s="1907">
        <f>'B3 - COVID-19'!N19</f>
        <v>148.76744166666668</v>
      </c>
      <c r="DT19" s="1907">
        <f>'B3 - COVID-19'!O19</f>
        <v>155.07609000000002</v>
      </c>
      <c r="DU19" s="1907">
        <f>'B3 - COVID-19'!P19</f>
        <v>1421.1944083333333</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122</v>
      </c>
      <c r="HJ19" s="1797">
        <f>'E1 - Invoiced Income'!R19</f>
        <v>0</v>
      </c>
      <c r="HK19" s="1797">
        <f>'E1 - Invoiced Income'!S19</f>
        <v>0</v>
      </c>
      <c r="HL19" s="1664">
        <f>'E1 - Invoiced Income'!T19</f>
        <v>122</v>
      </c>
      <c r="HM19" s="1798" t="str">
        <f>'E1 - Invoiced Income'!U19</f>
        <v>As confirmed on non-cash submission 30-06-2023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v>
      </c>
      <c r="IS19" s="959"/>
      <c r="IT19" s="1759">
        <f>'H - PSPP'!H19</f>
        <v>0</v>
      </c>
      <c r="IU19" s="959"/>
      <c r="IV19" s="1759">
        <f>'H - PSPP'!J19</f>
        <v>0</v>
      </c>
      <c r="IW19" s="959"/>
      <c r="IX19" s="1759">
        <f>'H - PSPP'!L19</f>
        <v>0.44690000000000002</v>
      </c>
      <c r="IY19" s="959"/>
      <c r="IZ19" s="1759">
        <f>'H - PSPP'!N19</f>
        <v>0</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(NHS Wales Health Collaborative)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f>'J - Capital In Year Schemes'!T19</f>
        <v>0</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10912.38615</v>
      </c>
      <c r="BL20" s="1782">
        <f>'B - Monthly Positions'!H20</f>
        <v>10924.419483333333</v>
      </c>
      <c r="BM20" s="1782">
        <f>'B - Monthly Positions'!I20</f>
        <v>10964.259676666667</v>
      </c>
      <c r="BN20" s="1782">
        <f>'B - Monthly Positions'!J20</f>
        <v>11015.102576666666</v>
      </c>
      <c r="BO20" s="1782">
        <f>'B - Monthly Positions'!K20</f>
        <v>11015.102576666666</v>
      </c>
      <c r="BP20" s="1782">
        <f>'B - Monthly Positions'!L20</f>
        <v>11015.102576666666</v>
      </c>
      <c r="BQ20" s="1782">
        <f>'B - Monthly Positions'!M20</f>
        <v>11011.102576666666</v>
      </c>
      <c r="BR20" s="1782">
        <f>'B - Monthly Positions'!N20</f>
        <v>11001.259676666667</v>
      </c>
      <c r="BS20" s="1782">
        <f>'B - Monthly Positions'!O20</f>
        <v>11133.399441666666</v>
      </c>
      <c r="BT20" s="1781">
        <f>'B - Monthly Positions'!P20</f>
        <v>34398</v>
      </c>
      <c r="BU20" s="1781">
        <f>'B - Monthly Positions'!Q20</f>
        <v>133390.134735</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903.74999999999989</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59079</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150.07599999999999</v>
      </c>
      <c r="IB20" s="2053">
        <f>'G - Cash Flow'!G20</f>
        <v>150.07599999999999</v>
      </c>
      <c r="IC20" s="2053">
        <f>'G - Cash Flow'!H20</f>
        <v>150.07599999999999</v>
      </c>
      <c r="ID20" s="2053">
        <f>'G - Cash Flow'!I20</f>
        <v>150.07599999999999</v>
      </c>
      <c r="IE20" s="2053">
        <f>'G - Cash Flow'!J20</f>
        <v>150.07599999999999</v>
      </c>
      <c r="IF20" s="2053">
        <f>'G - Cash Flow'!K20</f>
        <v>150.07599999999999</v>
      </c>
      <c r="IG20" s="2053">
        <f>'G - Cash Flow'!L20</f>
        <v>150.07599999999999</v>
      </c>
      <c r="IH20" s="2053">
        <f>'G - Cash Flow'!M20</f>
        <v>150.07599999999999</v>
      </c>
      <c r="II20" s="2053">
        <f>'G - Cash Flow'!N20</f>
        <v>281.93799999999999</v>
      </c>
      <c r="IJ20" s="2054">
        <f>'G - Cash Flow'!O20</f>
        <v>3334.6863300000005</v>
      </c>
      <c r="IK20" s="1941"/>
      <c r="IM20" s="119">
        <f>'H - PSPP'!A20</f>
        <v>7</v>
      </c>
      <c r="IN20" s="386" t="str">
        <f>'H - PSPP'!B20</f>
        <v>% of Non NHS Invoices Paid Within 10 Days - By Value</v>
      </c>
      <c r="IO20" s="956"/>
      <c r="IP20" s="1759">
        <f>'H - PSPP'!D20</f>
        <v>0.72850000000000004</v>
      </c>
      <c r="IQ20" s="959"/>
      <c r="IR20" s="1759">
        <f>'H - PSPP'!F20</f>
        <v>0</v>
      </c>
      <c r="IS20" s="959"/>
      <c r="IT20" s="1759">
        <f>'H - PSPP'!H20</f>
        <v>0</v>
      </c>
      <c r="IU20" s="959"/>
      <c r="IV20" s="1759">
        <f>'H - PSPP'!J20</f>
        <v>0</v>
      </c>
      <c r="IW20" s="959"/>
      <c r="IX20" s="1759">
        <f>'H - PSPP'!L20</f>
        <v>0.72850000000000004</v>
      </c>
      <c r="IY20" s="959"/>
      <c r="IZ20" s="1759">
        <f>'H - PSPP'!N20</f>
        <v>0</v>
      </c>
      <c r="JA20" s="959"/>
      <c r="JB20" s="1744"/>
      <c r="JD20" s="2087">
        <f>'I - Capital RLM'!A20</f>
        <v>2</v>
      </c>
      <c r="JE20" s="2125" t="str">
        <f>'I - Capital RLM'!B20</f>
        <v xml:space="preserve">Screening Equipment Replacement (BTW Imaging Equip) </v>
      </c>
      <c r="JF20" s="2009">
        <f>'I - Capital RLM'!C20</f>
        <v>12.25178</v>
      </c>
      <c r="JG20" s="2009">
        <f>'I - Capital RLM'!D20</f>
        <v>12.25178</v>
      </c>
      <c r="JH20" s="2117">
        <f>'I - Capital RLM'!E20</f>
        <v>0</v>
      </c>
      <c r="JI20" s="2118">
        <f>'I - Capital RLM'!F20</f>
        <v>0</v>
      </c>
      <c r="JJ20" s="2009">
        <f>'I - Capital RLM'!G20</f>
        <v>50</v>
      </c>
      <c r="JK20" s="2009">
        <f>'I - Capital RLM'!H20</f>
        <v>50</v>
      </c>
      <c r="JL20" s="2117">
        <f>'I - Capital RLM'!I20</f>
        <v>0</v>
      </c>
      <c r="JM20" s="2119"/>
      <c r="JN20" s="1889">
        <f>'I - Capital RLM'!K20</f>
        <v>0</v>
      </c>
      <c r="JO20" s="2119">
        <f t="shared" ref="JO20:JO59" si="7">IF(AND(JK20&gt;0,JE20=""),1,0)</f>
        <v>0</v>
      </c>
      <c r="JQ20" s="2087">
        <f>'J - Capital In Year Schemes'!A20</f>
        <v>9</v>
      </c>
      <c r="JR20" s="2088">
        <f>'J - Capital In Year Schemes'!B20</f>
        <v>0</v>
      </c>
      <c r="JS20" s="2088">
        <f>'J - Capital In Year Schemes'!C20</f>
        <v>0</v>
      </c>
      <c r="JT20" s="2009">
        <f>'J - Capital In Year Schemes'!D20</f>
        <v>0</v>
      </c>
      <c r="JU20" s="2009">
        <f>'J - Capital In Year Schemes'!E20</f>
        <v>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0</v>
      </c>
      <c r="KD20" s="2009">
        <f>'J - Capital In Year Schemes'!N20</f>
        <v>0</v>
      </c>
      <c r="KE20" s="2009">
        <f>'J - Capital In Year Schemes'!O20</f>
        <v>0</v>
      </c>
      <c r="KF20" s="2009">
        <f>'J - Capital In Year Schemes'!P20</f>
        <v>0</v>
      </c>
      <c r="KG20" s="2009">
        <f>'J - Capital In Year Schemes'!Q20</f>
        <v>0</v>
      </c>
      <c r="KH20" s="2089">
        <f>'J - Capital In Year Schemes'!R20</f>
        <v>0</v>
      </c>
      <c r="KI20" s="2089">
        <f>'J - Capital In Year Schemes'!S20</f>
        <v>0</v>
      </c>
      <c r="KJ20" s="2090">
        <f>'J - Capital In Year Schemes'!T20</f>
        <v>0</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-1809</v>
      </c>
      <c r="LH20" s="1778">
        <f>'L - EFL'!D20</f>
        <v>-1809.0001199999999</v>
      </c>
      <c r="LI20" s="1612">
        <f>'L - EFL'!E20</f>
        <v>-1.199999999244028E-4</v>
      </c>
      <c r="LJ20" s="1778">
        <f>'L - EFL'!F20</f>
        <v>-13.07072</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t="str">
        <f>'A2 - Risks'!B21</f>
        <v>WG funding not yet confirmed - Screening Recovery Funding</v>
      </c>
      <c r="BB21" s="1787">
        <f>'A2 - Risks'!C21</f>
        <v>-979</v>
      </c>
      <c r="BC21" s="1758" t="str">
        <f>'A2 - Risks'!D21</f>
        <v>Low</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8923.8516804284154</v>
      </c>
      <c r="BL21" s="1781">
        <f>'B - Monthly Positions'!H21</f>
        <v>7808.1016804284154</v>
      </c>
      <c r="BM21" s="1781">
        <f>'B - Monthly Positions'!I21</f>
        <v>8168.9990017049176</v>
      </c>
      <c r="BN21" s="1781">
        <f>'B - Monthly Positions'!J21</f>
        <v>8668.6010789530046</v>
      </c>
      <c r="BO21" s="1781">
        <f>'B - Monthly Positions'!K21</f>
        <v>8320.8436131803282</v>
      </c>
      <c r="BP21" s="1781">
        <f>'B - Monthly Positions'!L21</f>
        <v>8620.0260789530057</v>
      </c>
      <c r="BQ21" s="1781">
        <f>'B - Monthly Positions'!M21</f>
        <v>8419.6010789530046</v>
      </c>
      <c r="BR21" s="1781">
        <f>'B - Monthly Positions'!N21</f>
        <v>8388.8734240576505</v>
      </c>
      <c r="BS21" s="1781">
        <f>'B - Monthly Positions'!O21</f>
        <v>9349.8103556030055</v>
      </c>
      <c r="BT21" s="1781">
        <f>'B - Monthly Positions'!P21</f>
        <v>19600.708999999999</v>
      </c>
      <c r="BU21" s="1781">
        <f>'B - Monthly Positions'!Q21</f>
        <v>96269.416992261758</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903.74999999999989</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357</v>
      </c>
      <c r="FX21" s="2068">
        <f>'D - Welsh NHS Assumptions'!D21</f>
        <v>3823</v>
      </c>
      <c r="FY21" s="2047">
        <f>'D - Welsh NHS Assumptions'!E21</f>
        <v>4180</v>
      </c>
      <c r="FZ21" s="1744"/>
      <c r="GA21" s="2068">
        <f>'D - Welsh NHS Assumptions'!G21</f>
        <v>2112</v>
      </c>
      <c r="GB21" s="2068">
        <f>'D - Welsh NHS Assumptions'!H21</f>
        <v>905</v>
      </c>
      <c r="GC21" s="2047">
        <f>'D - Welsh NHS Assumptions'!I21</f>
        <v>3017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t="str">
        <f>'E1 - Invoiced Income'!U21</f>
        <v>As confirmed on non-cash submission 30-06-2023</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19766.589</v>
      </c>
      <c r="IB21" s="2129">
        <f>'G - Cash Flow'!G21</f>
        <v>19766.589</v>
      </c>
      <c r="IC21" s="2129">
        <f>'G - Cash Flow'!H21</f>
        <v>19766.589</v>
      </c>
      <c r="ID21" s="2129">
        <f>'G - Cash Flow'!I21</f>
        <v>19766.589</v>
      </c>
      <c r="IE21" s="2129">
        <f>'G - Cash Flow'!J21</f>
        <v>19766.589</v>
      </c>
      <c r="IF21" s="2129">
        <f>'G - Cash Flow'!K21</f>
        <v>19766.589</v>
      </c>
      <c r="IG21" s="2129">
        <f>'G - Cash Flow'!L21</f>
        <v>19766.589</v>
      </c>
      <c r="IH21" s="2129">
        <f>'G - Cash Flow'!M21</f>
        <v>19766.589</v>
      </c>
      <c r="II21" s="2129">
        <f>'G - Cash Flow'!N21</f>
        <v>19898.450999999997</v>
      </c>
      <c r="IJ21" s="2129">
        <f>'G - Cash Flow'!O21</f>
        <v>237018.52483999994</v>
      </c>
      <c r="IK21" s="1941"/>
      <c r="IM21" s="119">
        <f>'H - PSPP'!A21</f>
        <v>8</v>
      </c>
      <c r="IN21" s="386" t="str">
        <f>'H - PSPP'!B21</f>
        <v>% of Non NHS Invoices Paid Within 10 Days - By Number</v>
      </c>
      <c r="IO21" s="956"/>
      <c r="IP21" s="1759">
        <f>'H - PSPP'!D21</f>
        <v>0.70799999999999996</v>
      </c>
      <c r="IQ21" s="960"/>
      <c r="IR21" s="1759">
        <f>'H - PSPP'!F21</f>
        <v>0</v>
      </c>
      <c r="IS21" s="960"/>
      <c r="IT21" s="1759">
        <f>'H - PSPP'!H21</f>
        <v>0</v>
      </c>
      <c r="IU21" s="960"/>
      <c r="IV21" s="1759">
        <f>'H - PSPP'!J21</f>
        <v>0</v>
      </c>
      <c r="IW21" s="960"/>
      <c r="IX21" s="1759">
        <f>'H - PSPP'!L21</f>
        <v>0.70799999999999996</v>
      </c>
      <c r="IY21" s="960"/>
      <c r="IZ21" s="1759">
        <f>'H - PSPP'!N21</f>
        <v>0</v>
      </c>
      <c r="JA21" s="960"/>
      <c r="JB21" s="1744"/>
      <c r="JD21" s="2087">
        <f>'I - Capital RLM'!A21</f>
        <v>3</v>
      </c>
      <c r="JE21" s="2125" t="str">
        <f>'I - Capital RLM'!B21</f>
        <v>(EFAB) - Fire Compliance Works</v>
      </c>
      <c r="JF21" s="2009">
        <f>'I - Capital RLM'!C21</f>
        <v>0</v>
      </c>
      <c r="JG21" s="2009">
        <f>'I - Capital RLM'!D21</f>
        <v>0</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t="str">
        <f>'A2 - Risks'!B22</f>
        <v>WG funding not yet confirmed - Healthy Working Wales Funding</v>
      </c>
      <c r="BB22" s="1787">
        <f>'A2 - Risks'!C22</f>
        <v>-500</v>
      </c>
      <c r="BC22" s="1758" t="str">
        <f>'A2 - Risks'!D22</f>
        <v>Low</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691.5</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13595.196</v>
      </c>
      <c r="HJ22" s="1797">
        <f>'E1 - Invoiced Income'!R22</f>
        <v>0</v>
      </c>
      <c r="HK22" s="1797">
        <f>'E1 - Invoiced Income'!S22</f>
        <v>0</v>
      </c>
      <c r="HL22" s="1664">
        <f>'E1 - Invoiced Income'!T22</f>
        <v>13595.196</v>
      </c>
      <c r="HM22" s="2595" t="str">
        <f>'E1 - Invoiced Income'!U22</f>
        <v>See below analysis</v>
      </c>
      <c r="HO22" s="2083">
        <f>'F - SoFP'!A22</f>
        <v>12</v>
      </c>
      <c r="HP22" s="2130" t="str">
        <f>'F - SoFP'!B22</f>
        <v>TOTAL ASSETS</v>
      </c>
      <c r="HQ22" s="2036">
        <f>'F - SoFP'!C22</f>
        <v>76561</v>
      </c>
      <c r="HR22" s="2025">
        <f>'F - SoFP'!D22</f>
        <v>93723</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0</v>
      </c>
      <c r="JG22" s="2009">
        <f>'I - Capital RLM'!D22</f>
        <v>0</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952.85368042841526</v>
      </c>
      <c r="DL23" s="1329">
        <f>'B3 - COVID-19'!G23</f>
        <v>879.10368042841526</v>
      </c>
      <c r="DM23" s="1329">
        <f>'B3 - COVID-19'!H23</f>
        <v>942.2010017049181</v>
      </c>
      <c r="DN23" s="1329">
        <f>'B3 - COVID-19'!I23</f>
        <v>1112.1030789530055</v>
      </c>
      <c r="DO23" s="1329">
        <f>'B3 - COVID-19'!J23</f>
        <v>1123.345613180328</v>
      </c>
      <c r="DP23" s="1329">
        <f>'B3 - COVID-19'!K23</f>
        <v>1258.7280789530055</v>
      </c>
      <c r="DQ23" s="1329">
        <f>'B3 - COVID-19'!L23</f>
        <v>1156.1030789530055</v>
      </c>
      <c r="DR23" s="1329">
        <f>'B3 - COVID-19'!M23</f>
        <v>1067.0891474076502</v>
      </c>
      <c r="DS23" s="1329">
        <f>'B3 - COVID-19'!N23</f>
        <v>1194.2280789530055</v>
      </c>
      <c r="DT23" s="1862">
        <f>'B3 - COVID-19'!O23</f>
        <v>2441.0709999999999</v>
      </c>
      <c r="DU23" s="1862">
        <f>'B3 - COVID-19'!P23</f>
        <v>12126.826438961749</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691.5</v>
      </c>
      <c r="EO23" s="939">
        <f>'C, C1, C2&amp; C3 - Savings Schemes'!Q23</f>
        <v>1758</v>
      </c>
      <c r="EP23" s="1166">
        <f>'C, C1, C2&amp; C3 - Savings Schemes'!R23</f>
        <v>0.39334470989761094</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144</v>
      </c>
      <c r="GC23" s="2047">
        <f>'D - Welsh NHS Assumptions'!I23</f>
        <v>144</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-50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-1.8999999929292244E-4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10912.38615</v>
      </c>
      <c r="CU24" s="1569">
        <f>'B2 - Pay &amp; Agency'!G24</f>
        <v>10924.419483333333</v>
      </c>
      <c r="CV24" s="1569">
        <f>'B2 - Pay &amp; Agency'!H24</f>
        <v>10964.259676666667</v>
      </c>
      <c r="CW24" s="1569">
        <f>'B2 - Pay &amp; Agency'!I24</f>
        <v>11015.102576666666</v>
      </c>
      <c r="CX24" s="1569">
        <f>'B2 - Pay &amp; Agency'!J24</f>
        <v>11015.102576666666</v>
      </c>
      <c r="CY24" s="1569">
        <f>'B2 - Pay &amp; Agency'!K24</f>
        <v>11015.102576666666</v>
      </c>
      <c r="CZ24" s="1569">
        <f>'B2 - Pay &amp; Agency'!L24</f>
        <v>11011.102576666666</v>
      </c>
      <c r="DA24" s="1569">
        <f>'B2 - Pay &amp; Agency'!M24</f>
        <v>11001.259676666667</v>
      </c>
      <c r="DB24" s="1569">
        <f>'B2 - Pay &amp; Agency'!N24</f>
        <v>11133.399441666666</v>
      </c>
      <c r="DC24" s="1131">
        <f>'B2 - Pay &amp; Agency'!O24</f>
        <v>34398</v>
      </c>
      <c r="DD24" s="1322">
        <f>'B2 - Pay &amp; Agency'!P24</f>
        <v>133390.134735</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0</v>
      </c>
      <c r="DL24" s="1329">
        <f>'B3 - COVID-19'!G24</f>
        <v>0</v>
      </c>
      <c r="DM24" s="1329">
        <f>'B3 - COVID-19'!H24</f>
        <v>107.8</v>
      </c>
      <c r="DN24" s="1329">
        <f>'B3 - COVID-19'!I24</f>
        <v>0</v>
      </c>
      <c r="DO24" s="1329">
        <f>'B3 - COVID-19'!J24</f>
        <v>0</v>
      </c>
      <c r="DP24" s="1329">
        <f>'B3 - COVID-19'!K24</f>
        <v>107.8</v>
      </c>
      <c r="DQ24" s="1329">
        <f>'B3 - COVID-19'!L24</f>
        <v>0</v>
      </c>
      <c r="DR24" s="1329">
        <f>'B3 - COVID-19'!M24</f>
        <v>0</v>
      </c>
      <c r="DS24" s="1329">
        <f>'B3 - COVID-19'!N24</f>
        <v>107.8</v>
      </c>
      <c r="DT24" s="1862">
        <f>'B3 - COVID-19'!O24</f>
        <v>37.200000000000003</v>
      </c>
      <c r="DU24" s="1862">
        <f>'B3 - COVID-19'!P24</f>
        <v>360.6</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-20339</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50</v>
      </c>
      <c r="DN25" s="1329">
        <f>'B3 - COVID-19'!I25</f>
        <v>0</v>
      </c>
      <c r="DO25" s="1329">
        <f>'B3 - COVID-19'!J25</f>
        <v>0</v>
      </c>
      <c r="DP25" s="1329">
        <f>'B3 - COVID-19'!K25</f>
        <v>0</v>
      </c>
      <c r="DQ25" s="1329">
        <f>'B3 - COVID-19'!L25</f>
        <v>0</v>
      </c>
      <c r="DR25" s="1329">
        <f>'B3 - COVID-19'!M25</f>
        <v>0</v>
      </c>
      <c r="DS25" s="1329">
        <f>'B3 - COVID-19'!N25</f>
        <v>50</v>
      </c>
      <c r="DT25" s="1862">
        <f>'B3 - COVID-19'!O25</f>
        <v>0</v>
      </c>
      <c r="DU25" s="1862">
        <f>'B3 - COVID-19'!P25</f>
        <v>100</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903.74999999999989</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2075</v>
      </c>
      <c r="FX25" s="2068">
        <f>'D - Welsh NHS Assumptions'!D25</f>
        <v>0</v>
      </c>
      <c r="FY25" s="2047">
        <f>'D - Welsh NHS Assumptions'!E25</f>
        <v>2075</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M1-3 Consolidated pay award (1.5%) (based on actuals paid to date)</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332</v>
      </c>
      <c r="HJ25" s="1797">
        <f>'E1 - Invoiced Income'!R25</f>
        <v>0</v>
      </c>
      <c r="HK25" s="1797">
        <f>'E1 - Invoiced Income'!S25</f>
        <v>0</v>
      </c>
      <c r="HL25" s="1664">
        <f>'E1 - Invoiced Income'!T25</f>
        <v>332</v>
      </c>
      <c r="HM25" s="1798" t="str">
        <f>'E1 - Invoiced Income'!U25</f>
        <v xml:space="preserve">Per WG Pay Circular confirmed in 2022-23 </v>
      </c>
      <c r="HO25" s="2006">
        <f>'F - SoFP'!A25</f>
        <v>13</v>
      </c>
      <c r="HP25" s="2007" t="str">
        <f>'F - SoFP'!B25</f>
        <v>Trade and other payables</v>
      </c>
      <c r="HQ25" s="2008">
        <f>'F - SoFP'!C25</f>
        <v>30783</v>
      </c>
      <c r="HR25" s="2009">
        <f>'F - SoFP'!D25</f>
        <v>47510</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16727</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10912.38615</v>
      </c>
      <c r="CU26" s="1345">
        <f>'B2 - Pay &amp; Agency'!G26</f>
        <v>10924.419483333333</v>
      </c>
      <c r="CV26" s="1345">
        <f>'B2 - Pay &amp; Agency'!H26</f>
        <v>10964.259676666667</v>
      </c>
      <c r="CW26" s="1345">
        <f>'B2 - Pay &amp; Agency'!I26</f>
        <v>11015.102576666666</v>
      </c>
      <c r="CX26" s="1345">
        <f>'B2 - Pay &amp; Agency'!J26</f>
        <v>11015.102576666666</v>
      </c>
      <c r="CY26" s="1345">
        <f>'B2 - Pay &amp; Agency'!K26</f>
        <v>11015.102576666666</v>
      </c>
      <c r="CZ26" s="1345">
        <f>'B2 - Pay &amp; Agency'!L26</f>
        <v>11011.102576666666</v>
      </c>
      <c r="DA26" s="1345">
        <f>'B2 - Pay &amp; Agency'!M26</f>
        <v>11001.259676666667</v>
      </c>
      <c r="DB26" s="1344">
        <f>'B2 - Pay &amp; Agency'!N26</f>
        <v>11133.399441666666</v>
      </c>
      <c r="DC26" s="1343">
        <f>'B2 - Pay &amp; Agency'!O26</f>
        <v>34398</v>
      </c>
      <c r="DD26" s="1344">
        <f>'B2 - Pay &amp; Agency'!P26</f>
        <v>133390.134735</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903.74999999999989</v>
      </c>
      <c r="EO26" s="939">
        <f>'C, C1, C2&amp; C3 - Savings Schemes'!Q26</f>
        <v>1416.0000000000002</v>
      </c>
      <c r="EP26" s="1166">
        <f>'C, C1, C2&amp; C3 - Savings Schemes'!R26</f>
        <v>0.63824152542372858</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2022-23 Recovery Paymemt Funding (based on actuals paid in M3)</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1891</v>
      </c>
      <c r="HJ26" s="1797">
        <f>'E1 - Invoiced Income'!R26</f>
        <v>0</v>
      </c>
      <c r="HK26" s="1797">
        <f>'E1 - Invoiced Income'!S26</f>
        <v>0</v>
      </c>
      <c r="HL26" s="1664">
        <f>'E1 - Invoiced Income'!T26</f>
        <v>1891</v>
      </c>
      <c r="HM26" s="1798" t="str">
        <f>'E1 - Invoiced Income'!U26</f>
        <v>WG Pay Circular: 05/2023 - AFC recovery payment</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20350</v>
      </c>
      <c r="FX27" s="2047">
        <f>'D - Welsh NHS Assumptions'!D27</f>
        <v>12225</v>
      </c>
      <c r="FY27" s="2047">
        <f>'D - Welsh NHS Assumptions'!E27</f>
        <v>32575</v>
      </c>
      <c r="FZ27" s="1744"/>
      <c r="GA27" s="2047">
        <f>'D - Welsh NHS Assumptions'!G27</f>
        <v>17702</v>
      </c>
      <c r="GB27" s="2047">
        <f>'D - Welsh NHS Assumptions'!H27</f>
        <v>23221</v>
      </c>
      <c r="GC27" s="2047">
        <f>'D - Welsh NHS Assumptions'!I27</f>
        <v>40923</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2023-24 5% pay award to be paid from July (July to include backdated element)</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t="str">
        <f>'E1 - Invoiced Income'!P27</f>
        <v>TBC</v>
      </c>
      <c r="HJ27" s="1797">
        <f>'E1 - Invoiced Income'!R27</f>
        <v>0</v>
      </c>
      <c r="HK27" s="1797">
        <f>'E1 - Invoiced Income'!S27</f>
        <v>0</v>
      </c>
      <c r="HL27" s="1664">
        <f>'E1 - Invoiced Income'!T27</f>
        <v>0</v>
      </c>
      <c r="HM27" s="1798" t="str">
        <f>'E1 - Invoiced Income'!U27</f>
        <v>WG Pay Circular: Pay Letter AfC(W) 04/2023</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372</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-903.74999999999989</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t="str">
        <f>'E1 - Invoiced Income'!B28</f>
        <v>Screening Recovery Funding 2023-24</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979</v>
      </c>
      <c r="HJ28" s="1797">
        <f>'E1 - Invoiced Income'!R28</f>
        <v>0</v>
      </c>
      <c r="HK28" s="1797">
        <f>'E1 - Invoiced Income'!S28</f>
        <v>0</v>
      </c>
      <c r="HL28" s="1664">
        <f>'E1 - Invoiced Income'!T28</f>
        <v>979</v>
      </c>
      <c r="HM28" s="1798" t="str">
        <f>'E1 - Invoiced Income'!U28</f>
        <v xml:space="preserve">WG contacts: Gareth Haven &amp; Naheed Hussain </v>
      </c>
      <c r="HO28" s="2006">
        <f>'F - SoFP'!A28</f>
        <v>16</v>
      </c>
      <c r="HP28" s="2007" t="str">
        <f>'F - SoFP'!B28</f>
        <v>Provisions</v>
      </c>
      <c r="HQ28" s="2008">
        <f>'F - SoFP'!C28</f>
        <v>2399</v>
      </c>
      <c r="HR28" s="2009">
        <f>'F - SoFP'!D28</f>
        <v>6008</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11085.745999999999</v>
      </c>
      <c r="IB28" s="2063">
        <f>'G - Cash Flow'!G28</f>
        <v>11085.745999999999</v>
      </c>
      <c r="IC28" s="2063">
        <f>'G - Cash Flow'!H28</f>
        <v>11085.745999999999</v>
      </c>
      <c r="ID28" s="2063">
        <f>'G - Cash Flow'!I28</f>
        <v>11085.745999999999</v>
      </c>
      <c r="IE28" s="2063">
        <f>'G - Cash Flow'!J28</f>
        <v>11085.745999999999</v>
      </c>
      <c r="IF28" s="2063">
        <f>'G - Cash Flow'!K28</f>
        <v>11085.745999999999</v>
      </c>
      <c r="IG28" s="2063">
        <f>'G - Cash Flow'!L28</f>
        <v>11085.745999999999</v>
      </c>
      <c r="IH28" s="2063">
        <f>'G - Cash Flow'!M28</f>
        <v>11085.745999999999</v>
      </c>
      <c r="II28" s="2063">
        <f>'G - Cash Flow'!N28</f>
        <v>12852.745999999999</v>
      </c>
      <c r="IJ28" s="2149">
        <f>'G - Cash Flow'!O28</f>
        <v>135105.07750000001</v>
      </c>
      <c r="IK28" s="1941"/>
      <c r="JD28" s="2087">
        <f>'I - Capital RLM'!A28</f>
        <v>10</v>
      </c>
      <c r="JE28" s="2125">
        <f>'I - Capital RLM'!B28</f>
        <v>0</v>
      </c>
      <c r="JF28" s="2009">
        <f>'I - Capital RLM'!C28</f>
        <v>0</v>
      </c>
      <c r="JG28" s="2009">
        <f>'I - Capital RLM'!D28</f>
        <v>0</v>
      </c>
      <c r="JH28" s="2117">
        <f>'I - Capital RLM'!E28</f>
        <v>0</v>
      </c>
      <c r="JI28" s="2118">
        <f>'I - Capital RLM'!F28</f>
        <v>0</v>
      </c>
      <c r="JJ28" s="2009">
        <f>'I - Capital RLM'!G28</f>
        <v>0</v>
      </c>
      <c r="JK28" s="2009">
        <f>'I - Capital RLM'!H28</f>
        <v>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-3290</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t="str">
        <f>'E1 - Invoiced Income'!B29</f>
        <v>Healthy Working Wales Funding 2023-24</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500</v>
      </c>
      <c r="HJ29" s="1797">
        <f>'E1 - Invoiced Income'!R29</f>
        <v>0</v>
      </c>
      <c r="HK29" s="1797">
        <f>'E1 - Invoiced Income'!S29</f>
        <v>0</v>
      </c>
      <c r="HL29" s="1664">
        <f>'E1 - Invoiced Income'!T29</f>
        <v>500</v>
      </c>
      <c r="HM29" s="1798" t="str">
        <f>'E1 - Invoiced Income'!U29</f>
        <v xml:space="preserve">WG contacts: Gareth Haven &amp; Naheed Hussain </v>
      </c>
      <c r="HO29" s="2083">
        <f>'F - SoFP'!A29</f>
        <v>17</v>
      </c>
      <c r="HP29" s="2084" t="str">
        <f>'F - SoFP'!B29</f>
        <v xml:space="preserve">Current Liabilities sub total </v>
      </c>
      <c r="HQ29" s="2036">
        <f>'F - SoFP'!C29</f>
        <v>35382</v>
      </c>
      <c r="HR29" s="2036">
        <f>'F - SoFP'!D29</f>
        <v>55718</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8005.558</v>
      </c>
      <c r="IB29" s="2063">
        <f>'G - Cash Flow'!G29</f>
        <v>8005.558</v>
      </c>
      <c r="IC29" s="2063">
        <f>'G - Cash Flow'!H29</f>
        <v>8005.558</v>
      </c>
      <c r="ID29" s="2063">
        <f>'G - Cash Flow'!I29</f>
        <v>8005.558</v>
      </c>
      <c r="IE29" s="2063">
        <f>'G - Cash Flow'!J29</f>
        <v>8005.558</v>
      </c>
      <c r="IF29" s="2063">
        <f>'G - Cash Flow'!K29</f>
        <v>8005.558</v>
      </c>
      <c r="IG29" s="2063">
        <f>'G - Cash Flow'!L29</f>
        <v>8005.558</v>
      </c>
      <c r="IH29" s="2063">
        <f>'G - Cash Flow'!M29</f>
        <v>8005.558</v>
      </c>
      <c r="II29" s="2063">
        <f>'G - Cash Flow'!N29</f>
        <v>8005.558</v>
      </c>
      <c r="IJ29" s="2149">
        <f>'G - Cash Flow'!O29</f>
        <v>97137.267210000005</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2969</v>
      </c>
      <c r="LH29" s="2174">
        <f>'L - EFL'!D29</f>
        <v>3287.9997267000163</v>
      </c>
      <c r="LI29" s="2175">
        <f>'L - EFL'!E29</f>
        <v>318.99972670001603</v>
      </c>
      <c r="LJ29" s="2174">
        <f>'L - EFL'!F29</f>
        <v>-1604.6007199999985</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1595.25</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38005</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2969</v>
      </c>
      <c r="IJ31" s="2149">
        <f>'G - Cash Flow'!O31</f>
        <v>2969</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-2969</v>
      </c>
      <c r="LH31" s="1778">
        <f>'L - EFL'!D31</f>
        <v>-3287.9997267000163</v>
      </c>
      <c r="LI31" s="1612">
        <f>'L - EFL'!E31</f>
        <v>-318.99972670001625</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-1431.379117014254</v>
      </c>
      <c r="P32" s="1130">
        <f>'A - Movement'!D32</f>
        <v>-1431.379117014254</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2.3000000010142685E-4</v>
      </c>
      <c r="X32" s="1130">
        <f>'A - Movement'!K32</f>
        <v>-128.49630925089446</v>
      </c>
      <c r="Y32" s="1130">
        <f>'A - Movement'!L32</f>
        <v>-608.51301292608559</v>
      </c>
      <c r="Z32" s="1130">
        <f>'A - Movement'!M32</f>
        <v>23.673596177520722</v>
      </c>
      <c r="AA32" s="1130">
        <f>'A - Movement'!N32</f>
        <v>-12.543070489145975</v>
      </c>
      <c r="AB32" s="1130">
        <f>'A - Movement'!O32</f>
        <v>-217.34867288783425</v>
      </c>
      <c r="AC32" s="1130">
        <f>'A - Movement'!P32</f>
        <v>23.13570863385462</v>
      </c>
      <c r="AD32" s="1130">
        <f>'A - Movement'!Q32</f>
        <v>4.1578140053923107</v>
      </c>
      <c r="AE32" s="1130">
        <f>'A - Movement'!R32</f>
        <v>-276.99668303281192</v>
      </c>
      <c r="AF32" s="1130">
        <f>'A - Movement'!S32</f>
        <v>4.1357086338546196</v>
      </c>
      <c r="AG32" s="1130">
        <f>'A - Movement'!T32</f>
        <v>-3.4099506230702445</v>
      </c>
      <c r="AH32" s="1130">
        <f>'A - Movement'!U32</f>
        <v>-239.17447525503394</v>
      </c>
      <c r="AI32" s="1130">
        <f>'A - Movement'!V32</f>
        <v>-737.00909217697995</v>
      </c>
      <c r="AJ32" s="1130">
        <f>'A - Movement'!W32</f>
        <v>-1431.379117014254</v>
      </c>
      <c r="AK32" s="1130">
        <f t="shared" si="9"/>
        <v>-1431.379117014254</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518.58999999999992</v>
      </c>
      <c r="BM32" s="1782">
        <f>'B - Monthly Positions'!I32</f>
        <v>518.58999999999992</v>
      </c>
      <c r="BN32" s="1782">
        <f>'B - Monthly Positions'!J32</f>
        <v>518.58999999999992</v>
      </c>
      <c r="BO32" s="1782">
        <f>'B - Monthly Positions'!K32</f>
        <v>518.58999999999992</v>
      </c>
      <c r="BP32" s="1782">
        <f>'B - Monthly Positions'!L32</f>
        <v>518.58999999999992</v>
      </c>
      <c r="BQ32" s="1782">
        <f>'B - Monthly Positions'!M32</f>
        <v>518.58999999999992</v>
      </c>
      <c r="BR32" s="1782">
        <f>'B - Monthly Positions'!N32</f>
        <v>518.58999999999992</v>
      </c>
      <c r="BS32" s="1814">
        <f>'B - Monthly Positions'!O32</f>
        <v>518.58999999999992</v>
      </c>
      <c r="BT32" s="1781">
        <f>'B - Monthly Positions'!P32</f>
        <v>1555.5709999999999</v>
      </c>
      <c r="BU32" s="1781">
        <f>'B - Monthly Positions'!Q32</f>
        <v>6222.8810000000003</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1595.25</v>
      </c>
      <c r="EO32" s="75">
        <f>'C, C1, C2&amp; C3 - Savings Schemes'!Q32</f>
        <v>3174</v>
      </c>
      <c r="EP32" s="1166">
        <f>'C, C1, C2&amp; C3 - Savings Schemes'!R32</f>
        <v>0.5025992438563327</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3.1749999999999998</v>
      </c>
      <c r="IB32" s="2063">
        <f>'G - Cash Flow'!G32</f>
        <v>114.97499999999999</v>
      </c>
      <c r="IC32" s="2063">
        <f>'G - Cash Flow'!H32</f>
        <v>117</v>
      </c>
      <c r="ID32" s="2063">
        <f>'G - Cash Flow'!I32</f>
        <v>46</v>
      </c>
      <c r="IE32" s="2063">
        <f>'G - Cash Flow'!J32</f>
        <v>327</v>
      </c>
      <c r="IF32" s="2063">
        <f>'G - Cash Flow'!K32</f>
        <v>328</v>
      </c>
      <c r="IG32" s="2063">
        <f>'G - Cash Flow'!L32</f>
        <v>214</v>
      </c>
      <c r="IH32" s="2063">
        <f>'G - Cash Flow'!M32</f>
        <v>214</v>
      </c>
      <c r="II32" s="2063">
        <f>'G - Cash Flow'!N32</f>
        <v>216.9</v>
      </c>
      <c r="IJ32" s="2149">
        <f>'G - Cash Flow'!O32</f>
        <v>1807.6701500000001</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26.590000000000003</v>
      </c>
      <c r="BM33" s="1782">
        <f>'B - Monthly Positions'!I33</f>
        <v>26.590000000000003</v>
      </c>
      <c r="BN33" s="1782">
        <f>'B - Monthly Positions'!J33</f>
        <v>26.590000000000003</v>
      </c>
      <c r="BO33" s="1782">
        <f>'B - Monthly Positions'!K33</f>
        <v>26.590000000000003</v>
      </c>
      <c r="BP33" s="1782">
        <f>'B - Monthly Positions'!L33</f>
        <v>26.590000000000003</v>
      </c>
      <c r="BQ33" s="1782">
        <f>'B - Monthly Positions'!M33</f>
        <v>26.590000000000003</v>
      </c>
      <c r="BR33" s="1782">
        <f>'B - Monthly Positions'!N33</f>
        <v>26.590000000000003</v>
      </c>
      <c r="BS33" s="1814">
        <f>'B - Monthly Positions'!O33</f>
        <v>26.590000000000003</v>
      </c>
      <c r="BT33" s="1781">
        <f>'B - Monthly Positions'!P33</f>
        <v>79.72</v>
      </c>
      <c r="BU33" s="1781">
        <f>'B - Monthly Positions'!Q33</f>
        <v>319.03000000000003</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151.33333333333334</v>
      </c>
      <c r="CU33" s="1768">
        <f>'B2 - Pay &amp; Agency'!G33</f>
        <v>151.33333333333334</v>
      </c>
      <c r="CV33" s="1768">
        <f>'B2 - Pay &amp; Agency'!H33</f>
        <v>151.33333333333334</v>
      </c>
      <c r="CW33" s="1768">
        <f>'B2 - Pay &amp; Agency'!I33</f>
        <v>151.33333333333334</v>
      </c>
      <c r="CX33" s="1768">
        <f>'B2 - Pay &amp; Agency'!J33</f>
        <v>151.33333333333334</v>
      </c>
      <c r="CY33" s="1768">
        <f>'B2 - Pay &amp; Agency'!K33</f>
        <v>151.33333333333334</v>
      </c>
      <c r="CZ33" s="1768">
        <f>'B2 - Pay &amp; Agency'!L33</f>
        <v>151.33333333333334</v>
      </c>
      <c r="DA33" s="1768">
        <f>'B2 - Pay &amp; Agency'!M33</f>
        <v>151.33333333333334</v>
      </c>
      <c r="DB33" s="1769">
        <f>'B2 - Pay &amp; Agency'!N33</f>
        <v>151.33333333333334</v>
      </c>
      <c r="DC33" s="1131">
        <f>'B2 - Pay &amp; Agency'!O33</f>
        <v>454</v>
      </c>
      <c r="DD33" s="1322">
        <f>'B2 - Pay &amp; Agency'!P33</f>
        <v>1815.9999999999998</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952.85368042841526</v>
      </c>
      <c r="DL33" s="1906">
        <f>'B3 - COVID-19'!G33</f>
        <v>879.10368042841526</v>
      </c>
      <c r="DM33" s="1906">
        <f>'B3 - COVID-19'!H33</f>
        <v>1100.0010017049181</v>
      </c>
      <c r="DN33" s="1906">
        <f>'B3 - COVID-19'!I33</f>
        <v>1112.1030789530055</v>
      </c>
      <c r="DO33" s="1906">
        <f>'B3 - COVID-19'!J33</f>
        <v>1123.345613180328</v>
      </c>
      <c r="DP33" s="1906">
        <f>'B3 - COVID-19'!K33</f>
        <v>1366.5280789530054</v>
      </c>
      <c r="DQ33" s="1906">
        <f>'B3 - COVID-19'!L33</f>
        <v>1156.1030789530055</v>
      </c>
      <c r="DR33" s="1906">
        <f>'B3 - COVID-19'!M33</f>
        <v>1067.0891474076502</v>
      </c>
      <c r="DS33" s="1906">
        <f>'B3 - COVID-19'!N33</f>
        <v>1352.0280789530054</v>
      </c>
      <c r="DT33" s="1906">
        <f>'B3 - COVID-19'!O33</f>
        <v>2478.2709999999997</v>
      </c>
      <c r="DU33" s="1906">
        <f>'B3 - COVID-19'!P33</f>
        <v>12587.426438961749</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-107</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1431.3791537142542</v>
      </c>
      <c r="P34" s="1130">
        <f>'A - Movement'!D34</f>
        <v>1431.3791537142542</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-23.673596177520722</v>
      </c>
      <c r="AA34" s="1130">
        <f>'A - Movement'!N34</f>
        <v>12.543070489145975</v>
      </c>
      <c r="AB34" s="1130">
        <f>'A - Movement'!O34</f>
        <v>217.34867288783425</v>
      </c>
      <c r="AC34" s="1130">
        <f>'A - Movement'!P34</f>
        <v>-23.13570863385462</v>
      </c>
      <c r="AD34" s="1130">
        <f>'A - Movement'!Q34</f>
        <v>-4.1578140053923107</v>
      </c>
      <c r="AE34" s="1130">
        <f>'A - Movement'!R34</f>
        <v>276.99668303281192</v>
      </c>
      <c r="AF34" s="1130">
        <f>'A - Movement'!S34</f>
        <v>-4.1357086338546196</v>
      </c>
      <c r="AG34" s="1130">
        <f>'A - Movement'!T34</f>
        <v>3.4098539730703123</v>
      </c>
      <c r="AH34" s="1130">
        <f>'A - Movement'!U34</f>
        <v>239.17437860503401</v>
      </c>
      <c r="AI34" s="1130">
        <f>'A - Movement'!V34</f>
        <v>737.00932217698005</v>
      </c>
      <c r="AJ34" s="1130">
        <f>'A - Movement'!W34</f>
        <v>1431.3791537142542</v>
      </c>
      <c r="AK34" s="1130">
        <f t="shared" si="9"/>
        <v>1431.3791537142542</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-1479</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24.333333333333332</v>
      </c>
      <c r="CU34" s="1776">
        <f>'B2 - Pay &amp; Agency'!G34</f>
        <v>24.333333333333332</v>
      </c>
      <c r="CV34" s="1776">
        <f>'B2 - Pay &amp; Agency'!H34</f>
        <v>24.333333333333332</v>
      </c>
      <c r="CW34" s="1776">
        <f>'B2 - Pay &amp; Agency'!I34</f>
        <v>24.333333333333332</v>
      </c>
      <c r="CX34" s="1776">
        <f>'B2 - Pay &amp; Agency'!J34</f>
        <v>24.333333333333332</v>
      </c>
      <c r="CY34" s="1776">
        <f>'B2 - Pay &amp; Agency'!K34</f>
        <v>24.333333333333332</v>
      </c>
      <c r="CZ34" s="1776">
        <f>'B2 - Pay &amp; Agency'!L34</f>
        <v>24.333333333333332</v>
      </c>
      <c r="DA34" s="1776">
        <f>'B2 - Pay &amp; Agency'!M34</f>
        <v>24.333333333333332</v>
      </c>
      <c r="DB34" s="1777">
        <f>'B2 - Pay &amp; Agency'!N34</f>
        <v>24.333333333333332</v>
      </c>
      <c r="DC34" s="1323">
        <f>'B2 - Pay &amp; Agency'!O34</f>
        <v>73</v>
      </c>
      <c r="DD34" s="1324">
        <f>'B2 - Pay &amp; Agency'!P34</f>
        <v>292</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1035.2794137617486</v>
      </c>
      <c r="DL34" s="1911">
        <f>'B3 - COVID-19'!G34</f>
        <v>998.89116376174854</v>
      </c>
      <c r="DM34" s="1911">
        <f>'B3 - COVID-19'!H34</f>
        <v>1250.6286783715848</v>
      </c>
      <c r="DN34" s="1911">
        <f>'B3 - COVID-19'!I34</f>
        <v>1265.5736556196721</v>
      </c>
      <c r="DO34" s="1911">
        <f>'B3 - COVID-19'!J34</f>
        <v>1276.8161898469946</v>
      </c>
      <c r="DP34" s="1911">
        <f>'B3 - COVID-19'!K34</f>
        <v>1519.998655619672</v>
      </c>
      <c r="DQ34" s="1911">
        <f>'B3 - COVID-19'!L34</f>
        <v>1309.5736556196721</v>
      </c>
      <c r="DR34" s="1911">
        <f>'B3 - COVID-19'!M34</f>
        <v>1217.7168240743169</v>
      </c>
      <c r="DS34" s="1911">
        <f>'B3 - COVID-19'!N34</f>
        <v>1500.7955206196721</v>
      </c>
      <c r="DT34" s="1911">
        <f>'B3 - COVID-19'!O34</f>
        <v>2633.3470899999998</v>
      </c>
      <c r="DU34" s="1911">
        <f>'B3 - COVID-19'!P34</f>
        <v>14008.620847295082</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19094.478999999999</v>
      </c>
      <c r="IB34" s="2129">
        <f>'G - Cash Flow'!G34</f>
        <v>19206.278999999999</v>
      </c>
      <c r="IC34" s="2129">
        <f>'G - Cash Flow'!H34</f>
        <v>19208.304</v>
      </c>
      <c r="ID34" s="2129">
        <f>'G - Cash Flow'!I34</f>
        <v>19137.304</v>
      </c>
      <c r="IE34" s="2129">
        <f>'G - Cash Flow'!J34</f>
        <v>19418.304</v>
      </c>
      <c r="IF34" s="2129">
        <f>'G - Cash Flow'!K34</f>
        <v>19419.304</v>
      </c>
      <c r="IG34" s="2129">
        <f>'G - Cash Flow'!L34</f>
        <v>19305.304</v>
      </c>
      <c r="IH34" s="2129">
        <f>'G - Cash Flow'!M34</f>
        <v>19305.304</v>
      </c>
      <c r="II34" s="2129">
        <f>'G - Cash Flow'!N34</f>
        <v>24044.204000000002</v>
      </c>
      <c r="IJ34" s="2129">
        <f>'G - Cash Flow'!O34</f>
        <v>237019.01486000002</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1</v>
      </c>
      <c r="CU35" s="1776">
        <f>'B2 - Pay &amp; Agency'!G35</f>
        <v>1</v>
      </c>
      <c r="CV35" s="1776">
        <f>'B2 - Pay &amp; Agency'!H35</f>
        <v>1</v>
      </c>
      <c r="CW35" s="1776">
        <f>'B2 - Pay &amp; Agency'!I35</f>
        <v>1</v>
      </c>
      <c r="CX35" s="1776">
        <f>'B2 - Pay &amp; Agency'!J35</f>
        <v>1</v>
      </c>
      <c r="CY35" s="1776">
        <f>'B2 - Pay &amp; Agency'!K35</f>
        <v>1</v>
      </c>
      <c r="CZ35" s="1776">
        <f>'B2 - Pay &amp; Agency'!L35</f>
        <v>1</v>
      </c>
      <c r="DA35" s="1776">
        <f>'B2 - Pay &amp; Agency'!M35</f>
        <v>1</v>
      </c>
      <c r="DB35" s="1777">
        <f>'B2 - Pay &amp; Agency'!N35</f>
        <v>1</v>
      </c>
      <c r="DC35" s="1323">
        <f>'B2 - Pay &amp; Agency'!O35</f>
        <v>3</v>
      </c>
      <c r="DD35" s="1324">
        <f>'B2 - Pay &amp; Agency'!P35</f>
        <v>12</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6274</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0</v>
      </c>
      <c r="AA36" s="953">
        <f>'A - Movement'!N36</f>
        <v>0</v>
      </c>
      <c r="AB36" s="953">
        <f>'A - Movement'!O36</f>
        <v>0</v>
      </c>
      <c r="AC36" s="953">
        <f>'A - Movement'!P36</f>
        <v>0</v>
      </c>
      <c r="AD36" s="953">
        <f>'A - Movement'!Q36</f>
        <v>0</v>
      </c>
      <c r="AE36" s="953">
        <f>'A - Movement'!R36</f>
        <v>0</v>
      </c>
      <c r="AF36" s="953">
        <f>'A - Movement'!S36</f>
        <v>0</v>
      </c>
      <c r="AG36" s="953">
        <f>'A - Movement'!T36</f>
        <v>0</v>
      </c>
      <c r="AH36" s="953">
        <f>'A - Movement'!U36</f>
        <v>-63</v>
      </c>
      <c r="AI36" s="1130">
        <f>'A - Movement'!V36</f>
        <v>63</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f>'A2 - Risks'!B36</f>
        <v>0</v>
      </c>
      <c r="BB36" s="1823">
        <f>'A2 - Risks'!C36</f>
        <v>0</v>
      </c>
      <c r="BC36" s="1824">
        <f>'A2 - Risks'!D36</f>
        <v>0</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20381.417830428414</v>
      </c>
      <c r="BL36" s="1109">
        <f>'B - Monthly Positions'!H36</f>
        <v>19277.701163761747</v>
      </c>
      <c r="BM36" s="1109">
        <f>'B - Monthly Positions'!I36</f>
        <v>19678.438678371585</v>
      </c>
      <c r="BN36" s="1109">
        <f>'B - Monthly Positions'!J36</f>
        <v>20228.883655619669</v>
      </c>
      <c r="BO36" s="1109">
        <f>'B - Monthly Positions'!K36</f>
        <v>19881.126189846997</v>
      </c>
      <c r="BP36" s="1109">
        <f>'B - Monthly Positions'!L36</f>
        <v>20180.308655619672</v>
      </c>
      <c r="BQ36" s="1109">
        <f>'B - Monthly Positions'!M36</f>
        <v>19975.883655619669</v>
      </c>
      <c r="BR36" s="1109">
        <f>'B - Monthly Positions'!N36</f>
        <v>19935.313100724317</v>
      </c>
      <c r="BS36" s="1109">
        <f>'B - Monthly Positions'!O36</f>
        <v>21028.389797269672</v>
      </c>
      <c r="BT36" s="1109">
        <f>'B - Monthly Positions'!P36</f>
        <v>55634</v>
      </c>
      <c r="BU36" s="1109">
        <f>'B - Monthly Positions'!Q36</f>
        <v>236201.46272726171</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3336.6143124800105</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1595.25</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672.11000000000058</v>
      </c>
      <c r="IB36" s="2054">
        <f>'G - Cash Flow'!G36</f>
        <v>560.31000000000131</v>
      </c>
      <c r="IC36" s="2054">
        <f>'G - Cash Flow'!H36</f>
        <v>558.28499999999985</v>
      </c>
      <c r="ID36" s="2054">
        <f>'G - Cash Flow'!I36</f>
        <v>629.28499999999985</v>
      </c>
      <c r="IE36" s="2054">
        <f>'G - Cash Flow'!J36</f>
        <v>348.28499999999985</v>
      </c>
      <c r="IF36" s="2054">
        <f>'G - Cash Flow'!K36</f>
        <v>347.28499999999985</v>
      </c>
      <c r="IG36" s="2054">
        <f>'G - Cash Flow'!L36</f>
        <v>461.28499999999985</v>
      </c>
      <c r="IH36" s="2054">
        <f>'G - Cash Flow'!M36</f>
        <v>461.28499999999985</v>
      </c>
      <c r="II36" s="2054">
        <f>'G - Cash Flow'!N36</f>
        <v>-4145.7530000000042</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-2969</v>
      </c>
      <c r="LH36" s="1603">
        <f>'L - EFL'!D36</f>
        <v>-3287.9997267000163</v>
      </c>
      <c r="LI36" s="2228">
        <f>'L - EFL'!E36</f>
        <v>-318.99972670001625</v>
      </c>
      <c r="LJ36" s="1603">
        <f>'L - EFL'!F36</f>
        <v>-107</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0</v>
      </c>
      <c r="BL37" s="1131">
        <f>'B - Monthly Positions'!H37</f>
        <v>3.637978807091713E-12</v>
      </c>
      <c r="BM37" s="1131">
        <f>'B - Monthly Positions'!I37</f>
        <v>0</v>
      </c>
      <c r="BN37" s="1131">
        <f>'B - Monthly Positions'!J37</f>
        <v>3.637978807091713E-12</v>
      </c>
      <c r="BO37" s="1131">
        <f>'B - Monthly Positions'!K37</f>
        <v>0</v>
      </c>
      <c r="BP37" s="1131">
        <f>'B - Monthly Positions'!L37</f>
        <v>0</v>
      </c>
      <c r="BQ37" s="1131">
        <f>'B - Monthly Positions'!M37</f>
        <v>3.637978807091713E-12</v>
      </c>
      <c r="BR37" s="1131">
        <f>'B - Monthly Positions'!N37</f>
        <v>-9.6649997431086376E-5</v>
      </c>
      <c r="BS37" s="1109">
        <f>'B - Monthly Positions'!O37</f>
        <v>-63.000096650001069</v>
      </c>
      <c r="BT37" s="1131">
        <f>'B - Monthly Positions'!P37</f>
        <v>63</v>
      </c>
      <c r="BU37" s="1131">
        <f>'B - Monthly Positions'!Q37</f>
        <v>-1.9329992937855422E-4</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23</v>
      </c>
      <c r="CU37" s="1776">
        <f>'B2 - Pay &amp; Agency'!G37</f>
        <v>23</v>
      </c>
      <c r="CV37" s="1776">
        <f>'B2 - Pay &amp; Agency'!H37</f>
        <v>23</v>
      </c>
      <c r="CW37" s="1776">
        <f>'B2 - Pay &amp; Agency'!I37</f>
        <v>23</v>
      </c>
      <c r="CX37" s="1776">
        <f>'B2 - Pay &amp; Agency'!J37</f>
        <v>23</v>
      </c>
      <c r="CY37" s="1776">
        <f>'B2 - Pay &amp; Agency'!K37</f>
        <v>23</v>
      </c>
      <c r="CZ37" s="1776">
        <f>'B2 - Pay &amp; Agency'!L37</f>
        <v>23</v>
      </c>
      <c r="DA37" s="1776">
        <f>'B2 - Pay &amp; Agency'!M37</f>
        <v>23</v>
      </c>
      <c r="DB37" s="1777">
        <f>'B2 - Pay &amp; Agency'!N37</f>
        <v>23</v>
      </c>
      <c r="DC37" s="1323">
        <f>'B2 - Pay &amp; Agency'!O37</f>
        <v>69</v>
      </c>
      <c r="DD37" s="1324">
        <f>'B2 - Pay &amp; Agency'!P37</f>
        <v>276</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-10.062364359338972</v>
      </c>
      <c r="DL37" s="2778">
        <f>'B3 - COVID-19'!G37</f>
        <v>16.825885640661113</v>
      </c>
      <c r="DM37" s="2778">
        <f>'B3 - COVID-19'!H37</f>
        <v>221.63148803934928</v>
      </c>
      <c r="DN37" s="2778">
        <f>'B3 - COVID-19'!I37</f>
        <v>6.1471065176604043</v>
      </c>
      <c r="DO37" s="2778">
        <f>'B3 - COVID-19'!J37</f>
        <v>0.12500114612271318</v>
      </c>
      <c r="DP37" s="2778">
        <f>'B3 - COVID-19'!K37</f>
        <v>281.27949818432694</v>
      </c>
      <c r="DQ37" s="2778">
        <f>'B3 - COVID-19'!L37</f>
        <v>0.14710651766040428</v>
      </c>
      <c r="DR37" s="2778">
        <f>'B3 - COVID-19'!M37</f>
        <v>-11.872159225414634</v>
      </c>
      <c r="DS37" s="2778">
        <f>'B3 - COVID-19'!N37</f>
        <v>223.89036540654911</v>
      </c>
      <c r="DT37" s="2778">
        <f>'B3 - COVID-19'!O37</f>
        <v>703.26722248001079</v>
      </c>
      <c r="DU37" s="2778">
        <f>'B3 - COVID-19'!P37</f>
        <v>1431.3791503475877</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1595.25</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16348.242979999992</v>
      </c>
      <c r="IC37" s="2237">
        <f>'G - Cash Flow'!H37</f>
        <v>16908.552979999993</v>
      </c>
      <c r="ID37" s="2237">
        <f>'G - Cash Flow'!I37</f>
        <v>17466.837979999993</v>
      </c>
      <c r="IE37" s="2237">
        <f>'G - Cash Flow'!J37</f>
        <v>18096.122979999993</v>
      </c>
      <c r="IF37" s="2237">
        <f>'G - Cash Flow'!K37</f>
        <v>18444.407979999993</v>
      </c>
      <c r="IG37" s="2237">
        <f>'G - Cash Flow'!L37</f>
        <v>18791.692979999993</v>
      </c>
      <c r="IH37" s="2237">
        <f>'G - Cash Flow'!M37</f>
        <v>19252.977979999992</v>
      </c>
      <c r="II37" s="2237">
        <f>'G - Cash Flow'!N37</f>
        <v>19714.262979999992</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0</v>
      </c>
      <c r="CU38" s="1776">
        <f>'B2 - Pay &amp; Agency'!G38</f>
        <v>0</v>
      </c>
      <c r="CV38" s="1776">
        <f>'B2 - Pay &amp; Agency'!H38</f>
        <v>0</v>
      </c>
      <c r="CW38" s="1776">
        <f>'B2 - Pay &amp; Agency'!I38</f>
        <v>0</v>
      </c>
      <c r="CX38" s="1776">
        <f>'B2 - Pay &amp; Agency'!J38</f>
        <v>0</v>
      </c>
      <c r="CY38" s="1776">
        <f>'B2 - Pay &amp; Agency'!K38</f>
        <v>0</v>
      </c>
      <c r="CZ38" s="1776">
        <f>'B2 - Pay &amp; Agency'!L38</f>
        <v>0</v>
      </c>
      <c r="DA38" s="1776">
        <f>'B2 - Pay &amp; Agency'!M38</f>
        <v>0</v>
      </c>
      <c r="DB38" s="1777">
        <f>'B2 - Pay &amp; Agency'!N38</f>
        <v>0</v>
      </c>
      <c r="DC38" s="1323">
        <f>'B2 - Pay &amp; Agency'!O38</f>
        <v>-2</v>
      </c>
      <c r="DD38" s="1324">
        <f>'B2 - Pay &amp; Agency'!P38</f>
        <v>-2</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8202</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16348.242979999992</v>
      </c>
      <c r="IB38" s="2054">
        <f>'G - Cash Flow'!G38</f>
        <v>16908.552979999993</v>
      </c>
      <c r="IC38" s="2054">
        <f>'G - Cash Flow'!H38</f>
        <v>17466.837979999993</v>
      </c>
      <c r="ID38" s="2054">
        <f>'G - Cash Flow'!I38</f>
        <v>18096.122979999993</v>
      </c>
      <c r="IE38" s="2054">
        <f>'G - Cash Flow'!J38</f>
        <v>18444.407979999993</v>
      </c>
      <c r="IF38" s="2054">
        <f>'G - Cash Flow'!K38</f>
        <v>18791.692979999993</v>
      </c>
      <c r="IG38" s="2054">
        <f>'G - Cash Flow'!L38</f>
        <v>19252.977979999992</v>
      </c>
      <c r="IH38" s="2054">
        <f>'G - Cash Flow'!M38</f>
        <v>19714.262979999992</v>
      </c>
      <c r="II38" s="2054">
        <f>'G - Cash Flow'!N38</f>
        <v>15568.509979999988</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82.666666666666671</v>
      </c>
      <c r="CU39" s="1776">
        <f>'B2 - Pay &amp; Agency'!G39</f>
        <v>82.666666666666671</v>
      </c>
      <c r="CV39" s="1776">
        <f>'B2 - Pay &amp; Agency'!H39</f>
        <v>82.666666666666671</v>
      </c>
      <c r="CW39" s="1776">
        <f>'B2 - Pay &amp; Agency'!I39</f>
        <v>82.666666666666671</v>
      </c>
      <c r="CX39" s="1776">
        <f>'B2 - Pay &amp; Agency'!J39</f>
        <v>82.666666666666671</v>
      </c>
      <c r="CY39" s="1776">
        <f>'B2 - Pay &amp; Agency'!K39</f>
        <v>82.666666666666671</v>
      </c>
      <c r="CZ39" s="1776">
        <f>'B2 - Pay &amp; Agency'!L39</f>
        <v>82.666666666666671</v>
      </c>
      <c r="DA39" s="1776">
        <f>'B2 - Pay &amp; Agency'!M39</f>
        <v>82.666666666666671</v>
      </c>
      <c r="DB39" s="1777">
        <f>'B2 - Pay &amp; Agency'!N39</f>
        <v>82.666666666666671</v>
      </c>
      <c r="DC39" s="1323">
        <f>'B2 - Pay &amp; Agency'!O39</f>
        <v>248</v>
      </c>
      <c r="DD39" s="1324">
        <f>'B2 - Pay &amp; Agency'!P39</f>
        <v>991.99999999999989</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1</v>
      </c>
      <c r="CU40" s="1776">
        <f>'B2 - Pay &amp; Agency'!G40</f>
        <v>1</v>
      </c>
      <c r="CV40" s="1776">
        <f>'B2 - Pay &amp; Agency'!H40</f>
        <v>1</v>
      </c>
      <c r="CW40" s="1776">
        <f>'B2 - Pay &amp; Agency'!I40</f>
        <v>1</v>
      </c>
      <c r="CX40" s="1776">
        <f>'B2 - Pay &amp; Agency'!J40</f>
        <v>1</v>
      </c>
      <c r="CY40" s="1776">
        <f>'B2 - Pay &amp; Agency'!K40</f>
        <v>1</v>
      </c>
      <c r="CZ40" s="1776">
        <f>'B2 - Pay &amp; Agency'!L40</f>
        <v>1</v>
      </c>
      <c r="DA40" s="1776">
        <f>'B2 - Pay &amp; Agency'!M40</f>
        <v>1</v>
      </c>
      <c r="DB40" s="1777">
        <f>'B2 - Pay &amp; Agency'!N40</f>
        <v>1</v>
      </c>
      <c r="DC40" s="1323">
        <f>'B2 - Pay &amp; Agency'!O40</f>
        <v>3</v>
      </c>
      <c r="DD40" s="1324">
        <f>'B2 - Pay &amp; Agency'!P40</f>
        <v>12</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29803</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3336.6140824800104</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283.33333333333337</v>
      </c>
      <c r="CU42" s="1341">
        <f>'B2 - Pay &amp; Agency'!G42</f>
        <v>283.33333333333337</v>
      </c>
      <c r="CV42" s="1341">
        <f>'B2 - Pay &amp; Agency'!H42</f>
        <v>283.33333333333337</v>
      </c>
      <c r="CW42" s="1341">
        <f>'B2 - Pay &amp; Agency'!I42</f>
        <v>283.33333333333337</v>
      </c>
      <c r="CX42" s="1341">
        <f>'B2 - Pay &amp; Agency'!J42</f>
        <v>283.33333333333337</v>
      </c>
      <c r="CY42" s="1341">
        <f>'B2 - Pay &amp; Agency'!K42</f>
        <v>283.33333333333337</v>
      </c>
      <c r="CZ42" s="1341">
        <f>'B2 - Pay &amp; Agency'!L42</f>
        <v>283.33333333333337</v>
      </c>
      <c r="DA42" s="1341">
        <f>'B2 - Pay &amp; Agency'!M42</f>
        <v>283.33333333333337</v>
      </c>
      <c r="DB42" s="1342">
        <f>'B2 - Pay &amp; Agency'!N42</f>
        <v>283.33333333333337</v>
      </c>
      <c r="DC42" s="1343">
        <f>'B2 - Pay &amp; Agency'!O42</f>
        <v>848</v>
      </c>
      <c r="DD42" s="1344">
        <f>'B2 - Pay &amp; Agency'!P42</f>
        <v>3398</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1035.2794137617486</v>
      </c>
      <c r="DL42" s="1325">
        <f>'B3 - COVID-19'!G42</f>
        <v>998.89116376174854</v>
      </c>
      <c r="DM42" s="1325">
        <f>'B3 - COVID-19'!H42</f>
        <v>1250.6286783715848</v>
      </c>
      <c r="DN42" s="1325">
        <f>'B3 - COVID-19'!I42</f>
        <v>1265.5736556196721</v>
      </c>
      <c r="DO42" s="1325">
        <f>'B3 - COVID-19'!J42</f>
        <v>1276.8161898469946</v>
      </c>
      <c r="DP42" s="1325">
        <f>'B3 - COVID-19'!K42</f>
        <v>1519.998655619672</v>
      </c>
      <c r="DQ42" s="1325">
        <f>'B3 - COVID-19'!L42</f>
        <v>1309.5736556196721</v>
      </c>
      <c r="DR42" s="1325">
        <f>'B3 - COVID-19'!M42</f>
        <v>1217.7168240743169</v>
      </c>
      <c r="DS42" s="2727">
        <f>'B3 - COVID-19'!N42</f>
        <v>1500.7955206196721</v>
      </c>
      <c r="DT42" s="2801">
        <f>'B3 - COVID-19'!O42</f>
        <v>2633.3470900000002</v>
      </c>
      <c r="DU42" s="2802">
        <f>'B3 - COVID-19'!P42</f>
        <v>14008.620847295082</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1595.25</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0</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1595.25</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2.5964379324437063E-2</v>
      </c>
      <c r="CU44" s="1353">
        <f>'B2 - Pay &amp; Agency'!G44</f>
        <v>2.5935779357941752E-2</v>
      </c>
      <c r="CV44" s="1353">
        <f>'B2 - Pay &amp; Agency'!H44</f>
        <v>2.5841538023429214E-2</v>
      </c>
      <c r="CW44" s="1353">
        <f>'B2 - Pay &amp; Agency'!I44</f>
        <v>2.5722260084397163E-2</v>
      </c>
      <c r="CX44" s="1353">
        <f>'B2 - Pay &amp; Agency'!J44</f>
        <v>2.5722260084397163E-2</v>
      </c>
      <c r="CY44" s="1353">
        <f>'B2 - Pay &amp; Agency'!K44</f>
        <v>2.5722260084397163E-2</v>
      </c>
      <c r="CZ44" s="1353">
        <f>'B2 - Pay &amp; Agency'!L44</f>
        <v>2.5731604202265577E-2</v>
      </c>
      <c r="DA44" s="1353">
        <f>'B2 - Pay &amp; Agency'!M44</f>
        <v>2.5754626439213561E-2</v>
      </c>
      <c r="DB44" s="1353">
        <f>'B2 - Pay &amp; Agency'!N44</f>
        <v>2.5448950683738196E-2</v>
      </c>
      <c r="DC44" s="1353">
        <f>'B2 - Pay &amp; Agency'!O44</f>
        <v>2.4652596081167509E-2</v>
      </c>
      <c r="DD44" s="1354">
        <f>'B2 - Pay &amp; Agency'!P44</f>
        <v>2.5474147745263541E-2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1035.2794137617486</v>
      </c>
      <c r="DL44" s="2797">
        <f>'B3 - COVID-19'!G44</f>
        <v>998.89116376174854</v>
      </c>
      <c r="DM44" s="2797">
        <f>'B3 - COVID-19'!H44</f>
        <v>1250.6286783715848</v>
      </c>
      <c r="DN44" s="2797">
        <f>'B3 - COVID-19'!I44</f>
        <v>1265.5736556196721</v>
      </c>
      <c r="DO44" s="2797">
        <f>'B3 - COVID-19'!J44</f>
        <v>1276.8161898469946</v>
      </c>
      <c r="DP44" s="2797">
        <f>'B3 - COVID-19'!K44</f>
        <v>1519.998655619672</v>
      </c>
      <c r="DQ44" s="2797">
        <f>'B3 - COVID-19'!L44</f>
        <v>1309.5736556196721</v>
      </c>
      <c r="DR44" s="2797">
        <f>'B3 - COVID-19'!M44</f>
        <v>1217.7168240743169</v>
      </c>
      <c r="DS44" s="2802">
        <f>'B3 - COVID-19'!N44</f>
        <v>1500.7955206196721</v>
      </c>
      <c r="DT44" s="2801">
        <f>'B3 - COVID-19'!O44</f>
        <v>2633.3470900000002</v>
      </c>
      <c r="DU44" s="2802">
        <f>'B3 - COVID-19'!P44</f>
        <v>14008.620847295082</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Jun 23</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-1.5329998404922662E-4</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10.062364359338972</v>
      </c>
      <c r="DL45" s="2804">
        <f>'B3 - COVID-19'!G45</f>
        <v>-16.825885640661113</v>
      </c>
      <c r="DM45" s="2804">
        <f>'B3 - COVID-19'!H45</f>
        <v>-221.63148803934928</v>
      </c>
      <c r="DN45" s="2804">
        <f>'B3 - COVID-19'!I45</f>
        <v>-6.1471065176604043</v>
      </c>
      <c r="DO45" s="2804">
        <f>'B3 - COVID-19'!J45</f>
        <v>-0.12500114612271318</v>
      </c>
      <c r="DP45" s="2804">
        <f>'B3 - COVID-19'!K45</f>
        <v>-281.27949818432694</v>
      </c>
      <c r="DQ45" s="2804">
        <f>'B3 - COVID-19'!L45</f>
        <v>-0.14710651766040428</v>
      </c>
      <c r="DR45" s="2804">
        <f>'B3 - COVID-19'!M45</f>
        <v>11.872159225414634</v>
      </c>
      <c r="DS45" s="2805">
        <f>'B3 - COVID-19'!N45</f>
        <v>-223.89036540654911</v>
      </c>
      <c r="DT45" s="2803">
        <f>'B3 - COVID-19'!O45</f>
        <v>-703.26699248001023</v>
      </c>
      <c r="DU45" s="2805">
        <f>'B3 - COVID-19'!P45</f>
        <v>-1431.3789203475862</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860</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576</v>
      </c>
      <c r="JU45" s="2036">
        <f>'J - Capital In Year Schemes'!E45</f>
        <v>576</v>
      </c>
      <c r="JV45" s="2036">
        <f>'J - Capital In Year Schemes'!F45</f>
        <v>2.8710200000000001</v>
      </c>
      <c r="JW45" s="2036">
        <f>'J - Capital In Year Schemes'!G45</f>
        <v>4.2888400000000004</v>
      </c>
      <c r="JX45" s="2036">
        <f>'J - Capital In Year Schemes'!H45</f>
        <v>5.09192</v>
      </c>
      <c r="JY45" s="2036">
        <f>'J - Capital In Year Schemes'!I45</f>
        <v>3.1749999999999998</v>
      </c>
      <c r="JZ45" s="2036">
        <f>'J - Capital In Year Schemes'!J45</f>
        <v>2.9750000000000001</v>
      </c>
      <c r="KA45" s="2036">
        <f>'J - Capital In Year Schemes'!K45</f>
        <v>5</v>
      </c>
      <c r="KB45" s="2036">
        <f>'J - Capital In Year Schemes'!L45</f>
        <v>149</v>
      </c>
      <c r="KC45" s="2036">
        <f>'J - Capital In Year Schemes'!M45</f>
        <v>149</v>
      </c>
      <c r="KD45" s="2036">
        <f>'J - Capital In Year Schemes'!N45</f>
        <v>150</v>
      </c>
      <c r="KE45" s="2036">
        <f>'J - Capital In Year Schemes'!O45</f>
        <v>36</v>
      </c>
      <c r="KF45" s="2036">
        <f>'J - Capital In Year Schemes'!P45</f>
        <v>36</v>
      </c>
      <c r="KG45" s="2036">
        <f>'J - Capital In Year Schemes'!Q45</f>
        <v>33</v>
      </c>
      <c r="KH45" s="2036">
        <f>'J - Capital In Year Schemes'!R45</f>
        <v>12.25178</v>
      </c>
      <c r="KI45" s="2036">
        <f>'J - Capital In Year Schemes'!S45</f>
        <v>576.40178000000003</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-1.5329998404922662E-4</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3978</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4180</v>
      </c>
      <c r="HH48" s="199">
        <f>'E1 - Invoiced Income'!O48</f>
        <v>2075</v>
      </c>
      <c r="HI48" s="199">
        <f>'E1 - Invoiced Income'!P48</f>
        <v>207660.46453396173</v>
      </c>
      <c r="HJ48" s="199">
        <f>'E1 - Invoiced Income'!R48</f>
        <v>190</v>
      </c>
      <c r="HK48" s="199">
        <f>'E1 - Invoiced Income'!S48</f>
        <v>0</v>
      </c>
      <c r="HL48" s="199">
        <f>'E1 - Invoiced Income'!T48</f>
        <v>240235.46453396173</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501.13634000000002</v>
      </c>
      <c r="JU48" s="2009">
        <f>'J - Capital In Year Schemes'!E48</f>
        <v>501.13634000000002</v>
      </c>
      <c r="JV48" s="2009">
        <f>'J - Capital In Year Schemes'!F48</f>
        <v>1.0383499999999999</v>
      </c>
      <c r="JW48" s="2009">
        <f>'J - Capital In Year Schemes'!G48</f>
        <v>0</v>
      </c>
      <c r="JX48" s="2009">
        <f>'J - Capital In Year Schemes'!H48</f>
        <v>0</v>
      </c>
      <c r="JY48" s="2009">
        <f>'J - Capital In Year Schemes'!I48</f>
        <v>0</v>
      </c>
      <c r="JZ48" s="2009">
        <f>'J - Capital In Year Schemes'!J48</f>
        <v>62</v>
      </c>
      <c r="KA48" s="2009">
        <f>'J - Capital In Year Schemes'!K48</f>
        <v>62</v>
      </c>
      <c r="KB48" s="2009">
        <f>'J - Capital In Year Schemes'!L48</f>
        <v>62</v>
      </c>
      <c r="KC48" s="2009">
        <f>'J - Capital In Year Schemes'!M48</f>
        <v>62</v>
      </c>
      <c r="KD48" s="2009">
        <f>'J - Capital In Year Schemes'!N48</f>
        <v>62</v>
      </c>
      <c r="KE48" s="2009">
        <f>'J - Capital In Year Schemes'!O48</f>
        <v>62</v>
      </c>
      <c r="KF48" s="2009">
        <f>'J - Capital In Year Schemes'!P48</f>
        <v>62</v>
      </c>
      <c r="KG48" s="2009">
        <f>'J - Capital In Year Schemes'!Q48</f>
        <v>66</v>
      </c>
      <c r="KH48" s="2089">
        <f>'J - Capital In Year Schemes'!R48</f>
        <v>1.0383499999999999</v>
      </c>
      <c r="KI48" s="2089">
        <f>'J - Capital In Year Schemes'!S48</f>
        <v>501.03835000000004</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-1479.000153299984</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691.5</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29803</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174.47577999999999</v>
      </c>
      <c r="JU49" s="2009">
        <f>'J - Capital In Year Schemes'!E49</f>
        <v>174.47577999999999</v>
      </c>
      <c r="JV49" s="2009">
        <f>'J - Capital In Year Schemes'!F49</f>
        <v>0</v>
      </c>
      <c r="JW49" s="2009">
        <f>'J - Capital In Year Schemes'!G49</f>
        <v>0</v>
      </c>
      <c r="JX49" s="2009">
        <f>'J - Capital In Year Schemes'!H49</f>
        <v>0</v>
      </c>
      <c r="JY49" s="2009">
        <f>'J - Capital In Year Schemes'!I49</f>
        <v>0</v>
      </c>
      <c r="JZ49" s="2009">
        <f>'J - Capital In Year Schemes'!J49</f>
        <v>22</v>
      </c>
      <c r="KA49" s="2009">
        <f>'J - Capital In Year Schemes'!K49</f>
        <v>22</v>
      </c>
      <c r="KB49" s="2009">
        <f>'J - Capital In Year Schemes'!L49</f>
        <v>22</v>
      </c>
      <c r="KC49" s="2009">
        <f>'J - Capital In Year Schemes'!M49</f>
        <v>22</v>
      </c>
      <c r="KD49" s="2009">
        <f>'J - Capital In Year Schemes'!N49</f>
        <v>22</v>
      </c>
      <c r="KE49" s="2009">
        <f>'J - Capital In Year Schemes'!O49</f>
        <v>22</v>
      </c>
      <c r="KF49" s="2009">
        <f>'J - Capital In Year Schemes'!P49</f>
        <v>22</v>
      </c>
      <c r="KG49" s="2009">
        <f>'J - Capital In Year Schemes'!Q49</f>
        <v>20</v>
      </c>
      <c r="KH49" s="2089">
        <f>'J - Capital In Year Schemes'!R49</f>
        <v>0</v>
      </c>
      <c r="KI49" s="2089">
        <f>'J - Capital In Year Schemes'!S49</f>
        <v>174</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-1.5329998404922662E-4</v>
      </c>
      <c r="P50" s="950">
        <f>'A - Movement'!D50</f>
        <v>-1.5329998404922662E-4</v>
      </c>
      <c r="Q50" s="950">
        <f>'A - Movement'!E50</f>
        <v>0</v>
      </c>
      <c r="R50" s="950">
        <f>'A - Movement'!F50</f>
        <v>0</v>
      </c>
      <c r="S50" s="1744"/>
      <c r="U50" s="951">
        <f>'A - Movement'!I50</f>
        <v>40</v>
      </c>
      <c r="V50" s="952" t="str">
        <f t="shared" si="8"/>
        <v>Forecast Outturn (- Deficit / + Surplus)</v>
      </c>
      <c r="W50" s="950">
        <f>'A - Movement'!J50</f>
        <v>50.000039999999899</v>
      </c>
      <c r="X50" s="950">
        <f>'A - Movement'!K50</f>
        <v>2.0000000000001421</v>
      </c>
      <c r="Y50" s="950">
        <f>'A - Movement'!L50</f>
        <v>11.000000000000114</v>
      </c>
      <c r="Z50" s="950">
        <f>'A - Movement'!M50</f>
        <v>3.694822225952521E-13</v>
      </c>
      <c r="AA50" s="950">
        <f>'A - Movement'!N50</f>
        <v>3.694822225952521E-13</v>
      </c>
      <c r="AB50" s="950">
        <f>'A - Movement'!O50</f>
        <v>-8.5265128291212022E-14</v>
      </c>
      <c r="AC50" s="950">
        <f>'A - Movement'!P50</f>
        <v>-8.5265128291212022E-14</v>
      </c>
      <c r="AD50" s="950">
        <f>'A - Movement'!Q50</f>
        <v>5.9685589803848416E-13</v>
      </c>
      <c r="AE50" s="950">
        <f>'A - Movement'!R50</f>
        <v>1.1368683772161603E-13</v>
      </c>
      <c r="AF50" s="950">
        <f>'A - Movement'!S50</f>
        <v>-8.5265128291212022E-14</v>
      </c>
      <c r="AG50" s="950">
        <f>'A - Movement'!T50</f>
        <v>-9.6649999790088259E-5</v>
      </c>
      <c r="AH50" s="950">
        <f>'A - Movement'!U50</f>
        <v>-63.000096650000245</v>
      </c>
      <c r="AI50" s="950">
        <f>'A - Movement'!V50</f>
        <v>63.000040000000155</v>
      </c>
      <c r="AJ50" s="950">
        <f>'A - Movement'!W50</f>
        <v>-1.5329999868640698E-4</v>
      </c>
      <c r="AK50" s="950">
        <f t="shared" si="12"/>
        <v>-1.5329998404922662E-4</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691.5</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-1.5329998404922662E-4</v>
      </c>
      <c r="BC51" s="1154">
        <f>'A2 - Risks'!D51</f>
        <v>0</v>
      </c>
      <c r="BE51" s="2232">
        <f>'B - Monthly Positions'!A51</f>
        <v>36</v>
      </c>
      <c r="BF51" s="1372" t="str">
        <f>'B - Monthly Positions'!B51</f>
        <v>Specialised Services</v>
      </c>
      <c r="BG51" s="93" t="str">
        <f>'B - Monthly Positions'!C51</f>
        <v>Actual/F'cast</v>
      </c>
      <c r="BH51" s="3004">
        <f>'B - Monthly Positions'!D51</f>
        <v>213832.55172726171</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226.11799999999999</v>
      </c>
      <c r="JU51" s="2009">
        <f>'J - Capital In Year Schemes'!E51</f>
        <v>226.11799999999999</v>
      </c>
      <c r="JV51" s="2009">
        <f>'J - Capital In Year Schemes'!F51</f>
        <v>0</v>
      </c>
      <c r="JW51" s="2009">
        <f>'J - Capital In Year Schemes'!G51</f>
        <v>0</v>
      </c>
      <c r="JX51" s="2009">
        <f>'J - Capital In Year Schemes'!H51</f>
        <v>0</v>
      </c>
      <c r="JY51" s="2009">
        <f>'J - Capital In Year Schemes'!I51</f>
        <v>0</v>
      </c>
      <c r="JZ51" s="2009">
        <f>'J - Capital In Year Schemes'!J51</f>
        <v>28</v>
      </c>
      <c r="KA51" s="2009">
        <f>'J - Capital In Year Schemes'!K51</f>
        <v>28</v>
      </c>
      <c r="KB51" s="2009">
        <f>'J - Capital In Year Schemes'!L51</f>
        <v>28</v>
      </c>
      <c r="KC51" s="2009">
        <f>'J - Capital In Year Schemes'!M51</f>
        <v>28</v>
      </c>
      <c r="KD51" s="2009">
        <f>'J - Capital In Year Schemes'!N51</f>
        <v>28</v>
      </c>
      <c r="KE51" s="2009">
        <f>'J - Capital In Year Schemes'!O51</f>
        <v>28</v>
      </c>
      <c r="KF51" s="2009">
        <f>'J - Capital In Year Schemes'!P51</f>
        <v>28</v>
      </c>
      <c r="KG51" s="2009">
        <f>'J - Capital In Year Schemes'!Q51</f>
        <v>30.4</v>
      </c>
      <c r="KH51" s="2089">
        <f>'J - Capital In Year Schemes'!R51</f>
        <v>0</v>
      </c>
      <c r="KI51" s="2089">
        <f>'J - Capital In Year Schemes'!S51</f>
        <v>226.4</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-1.5329999985169707E-4</v>
      </c>
      <c r="P52" s="71"/>
      <c r="Q52" s="71"/>
      <c r="R52" s="71"/>
      <c r="S52" s="1744"/>
      <c r="U52" s="951">
        <f>'A - Movement'!I52</f>
        <v>41</v>
      </c>
      <c r="V52" s="2481" t="str">
        <f>N52</f>
        <v>Covid-19 - Forecast Outturn (- Deficit / + Surplus)</v>
      </c>
      <c r="W52" s="950">
        <f>'A - Movement'!J52</f>
        <v>4.0000000012696546E-5</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-9.6649999932196806E-5</v>
      </c>
      <c r="AH52" s="950">
        <f>'A - Movement'!U52</f>
        <v>-9.6649999932196806E-5</v>
      </c>
      <c r="AI52" s="950">
        <f>'A - Movement'!V52</f>
        <v>4.0000000012696546E-5</v>
      </c>
      <c r="AJ52" s="950">
        <f>O52</f>
        <v>-1.5329999985169707E-4</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2379</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275.66666666666669</v>
      </c>
      <c r="CU52" s="1768">
        <f>'B2 - Pay &amp; Agency'!G52</f>
        <v>275.66666666666669</v>
      </c>
      <c r="CV52" s="1768">
        <f>'B2 - Pay &amp; Agency'!H52</f>
        <v>275.66666666666669</v>
      </c>
      <c r="CW52" s="1768">
        <f>'B2 - Pay &amp; Agency'!I52</f>
        <v>275.66666666666669</v>
      </c>
      <c r="CX52" s="1768">
        <f>'B2 - Pay &amp; Agency'!J52</f>
        <v>275.66666666666669</v>
      </c>
      <c r="CY52" s="1768">
        <f>'B2 - Pay &amp; Agency'!K52</f>
        <v>275.66666666666669</v>
      </c>
      <c r="CZ52" s="1768">
        <f>'B2 - Pay &amp; Agency'!L52</f>
        <v>275.66666666666669</v>
      </c>
      <c r="DA52" s="1768">
        <f>'B2 - Pay &amp; Agency'!M52</f>
        <v>275.66666666666669</v>
      </c>
      <c r="DB52" s="1769">
        <f>'B2 - Pay &amp; Agency'!N52</f>
        <v>275.66666666666669</v>
      </c>
      <c r="DC52" s="1131">
        <f>'B2 - Pay &amp; Agency'!O52</f>
        <v>827</v>
      </c>
      <c r="DD52" s="1322">
        <f>'B2 - Pay &amp; Agency'!P52</f>
        <v>3307.9999999999995</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331.27</v>
      </c>
      <c r="JU52" s="2051">
        <f>'J - Capital In Year Schemes'!E52</f>
        <v>331.27</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66</v>
      </c>
      <c r="KD52" s="2051">
        <f>'J - Capital In Year Schemes'!N52</f>
        <v>66</v>
      </c>
      <c r="KE52" s="2051">
        <f>'J - Capital In Year Schemes'!O52</f>
        <v>66</v>
      </c>
      <c r="KF52" s="2051">
        <f>'J - Capital In Year Schemes'!P52</f>
        <v>66</v>
      </c>
      <c r="KG52" s="2051">
        <f>'J - Capital In Year Schemes'!Q52</f>
        <v>67.5</v>
      </c>
      <c r="KH52" s="2074">
        <f>'J - Capital In Year Schemes'!R52</f>
        <v>-0.21941000000000002</v>
      </c>
      <c r="KI52" s="2074">
        <f>'J - Capital In Year Schemes'!S52</f>
        <v>331.28059000000002</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13448</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7</v>
      </c>
      <c r="CV53" s="1776">
        <f>'B2 - Pay &amp; Agency'!H53</f>
        <v>7</v>
      </c>
      <c r="CW53" s="1776">
        <f>'B2 - Pay &amp; Agency'!I53</f>
        <v>7</v>
      </c>
      <c r="CX53" s="1776">
        <f>'B2 - Pay &amp; Agency'!J53</f>
        <v>7</v>
      </c>
      <c r="CY53" s="1776">
        <f>'B2 - Pay &amp; Agency'!K53</f>
        <v>7</v>
      </c>
      <c r="CZ53" s="1776">
        <f>'B2 - Pay &amp; Agency'!L53</f>
        <v>7</v>
      </c>
      <c r="DA53" s="1776">
        <f>'B2 - Pay &amp; Agency'!M53</f>
        <v>7</v>
      </c>
      <c r="DB53" s="1777">
        <f>'B2 - Pay &amp; Agency'!N53</f>
        <v>7</v>
      </c>
      <c r="DC53" s="1323">
        <f>'B2 - Pay &amp; Agency'!O53</f>
        <v>21</v>
      </c>
      <c r="DD53" s="1324">
        <f>'B2 - Pay &amp; Agency'!P53</f>
        <v>84</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68.538249999999977</v>
      </c>
      <c r="DL53" s="1902">
        <f>'B3 - COVID-19'!G53</f>
        <v>61.801583333333326</v>
      </c>
      <c r="DM53" s="1902">
        <f>'B3 - COVID-19'!H53</f>
        <v>61.801583333333326</v>
      </c>
      <c r="DN53" s="1902">
        <f>'B3 - COVID-19'!I53</f>
        <v>61.801583333333326</v>
      </c>
      <c r="DO53" s="1902">
        <f>'B3 - COVID-19'!J53</f>
        <v>61.801583333333326</v>
      </c>
      <c r="DP53" s="1902">
        <f>'B3 - COVID-19'!K53</f>
        <v>61.801583333333326</v>
      </c>
      <c r="DQ53" s="1902">
        <f>'B3 - COVID-19'!L53</f>
        <v>61.801583333333326</v>
      </c>
      <c r="DR53" s="1902">
        <f>'B3 - COVID-19'!M53</f>
        <v>61.801583333333326</v>
      </c>
      <c r="DS53" s="1902">
        <f>'B3 - COVID-19'!N53</f>
        <v>61.801583333333326</v>
      </c>
      <c r="DT53" s="1862">
        <f>'B3 - COVID-19'!O53</f>
        <v>136.96742</v>
      </c>
      <c r="DU53" s="1862">
        <f>'B3 - COVID-19'!P53</f>
        <v>699.91833666666662</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1753.7919999999999</v>
      </c>
      <c r="GW53" s="2525">
        <f>'E1 - Invoiced Income'!D53</f>
        <v>12254.829</v>
      </c>
      <c r="GX53" s="2528">
        <f>'E1 - Invoiced Income'!E53</f>
        <v>14008.620999999999</v>
      </c>
      <c r="GY53" s="2525">
        <f>'E1 - Invoiced Income'!F53</f>
        <v>0</v>
      </c>
      <c r="GZ53" s="2525" t="str">
        <f>'E1 - Invoiced Income'!G53</f>
        <v>Entered in P01 - Invoice raised for P01 - P02</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1233.0001199999999</v>
      </c>
      <c r="JU53" s="2036">
        <f>'J - Capital In Year Schemes'!E53</f>
        <v>1233.0001199999999</v>
      </c>
      <c r="JV53" s="2036">
        <f>'J - Capital In Year Schemes'!F53</f>
        <v>1.0383499999999999</v>
      </c>
      <c r="JW53" s="2036">
        <f>'J - Capital In Year Schemes'!G53</f>
        <v>6.0310000000000002E-2</v>
      </c>
      <c r="JX53" s="2036">
        <f>'J - Capital In Year Schemes'!H53</f>
        <v>-0.27972000000000002</v>
      </c>
      <c r="JY53" s="2036">
        <f>'J - Capital In Year Schemes'!I53</f>
        <v>0</v>
      </c>
      <c r="JZ53" s="2036">
        <f>'J - Capital In Year Schemes'!J53</f>
        <v>112</v>
      </c>
      <c r="KA53" s="2036">
        <f>'J - Capital In Year Schemes'!K53</f>
        <v>112</v>
      </c>
      <c r="KB53" s="2036">
        <f>'J - Capital In Year Schemes'!L53</f>
        <v>112</v>
      </c>
      <c r="KC53" s="2036">
        <f>'J - Capital In Year Schemes'!M53</f>
        <v>178</v>
      </c>
      <c r="KD53" s="2036">
        <f>'J - Capital In Year Schemes'!N53</f>
        <v>178</v>
      </c>
      <c r="KE53" s="2036">
        <f>'J - Capital In Year Schemes'!O53</f>
        <v>178</v>
      </c>
      <c r="KF53" s="2036">
        <f>'J - Capital In Year Schemes'!P53</f>
        <v>178</v>
      </c>
      <c r="KG53" s="2036">
        <f>'J - Capital In Year Schemes'!Q53</f>
        <v>183.9</v>
      </c>
      <c r="KH53" s="2036">
        <f>'J - Capital In Year Schemes'!R53</f>
        <v>0.81893999999999989</v>
      </c>
      <c r="KI53" s="2036">
        <f>'J - Capital In Year Schemes'!S53</f>
        <v>1232.71894</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1.5802470443304628E-11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3.694822225952521E-13</v>
      </c>
      <c r="AA54" s="950">
        <f>'A - Movement'!N54</f>
        <v>3.694822225952521E-13</v>
      </c>
      <c r="AB54" s="950">
        <f>'A - Movement'!O54</f>
        <v>-8.5265128291212022E-14</v>
      </c>
      <c r="AC54" s="950">
        <f>'A - Movement'!P54</f>
        <v>-8.5265128291212022E-14</v>
      </c>
      <c r="AD54" s="950">
        <f>'A - Movement'!Q54</f>
        <v>5.9685589803848416E-13</v>
      </c>
      <c r="AE54" s="950">
        <f>'A - Movement'!R54</f>
        <v>1.1368683772161603E-13</v>
      </c>
      <c r="AF54" s="950">
        <f>'A - Movement'!S54</f>
        <v>-8.5265128291212022E-14</v>
      </c>
      <c r="AG54" s="950">
        <f>'A - Movement'!T54</f>
        <v>1.4210854715202004E-13</v>
      </c>
      <c r="AH54" s="950">
        <f>'A - Movement'!U54</f>
        <v>-63.000000000000313</v>
      </c>
      <c r="AI54" s="950">
        <f>'A - Movement'!V54</f>
        <v>63.000000000000142</v>
      </c>
      <c r="AJ54" s="950">
        <f>O54</f>
        <v>1.5802470443304628E-11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149.63300000000001</v>
      </c>
      <c r="GW54" s="2526">
        <f>'E1 - Invoiced Income'!D54</f>
        <v>1340.367</v>
      </c>
      <c r="GX54" s="196">
        <f>'E1 - Invoiced Income'!E54</f>
        <v>1490</v>
      </c>
      <c r="GY54" s="2526">
        <f>'E1 - Invoiced Income'!F54</f>
        <v>0</v>
      </c>
      <c r="GZ54" s="2526" t="str">
        <f>'E1 - Invoiced Income'!G54</f>
        <v>Entered in P01 - Invoice raised for P01 - P02</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Jun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229659.55172726171</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0</v>
      </c>
      <c r="DM55" s="1902">
        <f>'B3 - COVID-19'!H55</f>
        <v>0</v>
      </c>
      <c r="DN55" s="1902">
        <f>'B3 - COVID-19'!I55</f>
        <v>0</v>
      </c>
      <c r="DO55" s="1902">
        <f>'B3 - COVID-19'!J55</f>
        <v>0</v>
      </c>
      <c r="DP55" s="1902">
        <f>'B3 - COVID-19'!K55</f>
        <v>0</v>
      </c>
      <c r="DQ55" s="1902">
        <f>'B3 - COVID-19'!L55</f>
        <v>0</v>
      </c>
      <c r="DR55" s="1902">
        <f>'B3 - COVID-19'!M55</f>
        <v>0</v>
      </c>
      <c r="DS55" s="1902">
        <f>'B3 - COVID-19'!N55</f>
        <v>0</v>
      </c>
      <c r="DT55" s="1862">
        <f>'B3 - COVID-19'!O55</f>
        <v>0</v>
      </c>
      <c r="DU55" s="1862">
        <f>'B3 - COVID-19'!P55</f>
        <v>0</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4891.45</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170.75</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972.35977000000003</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-691.5</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170.75</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-691.5</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403.59388000000013</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20.422166666666669</v>
      </c>
      <c r="DL59" s="1902">
        <f>'B3 - COVID-19'!G59</f>
        <v>17.830416666666668</v>
      </c>
      <c r="DM59" s="1902">
        <f>'B3 - COVID-19'!H59</f>
        <v>17.830416666666668</v>
      </c>
      <c r="DN59" s="1902">
        <f>'B3 - COVID-19'!I59</f>
        <v>17.830416666666668</v>
      </c>
      <c r="DO59" s="1902">
        <f>'B3 - COVID-19'!J59</f>
        <v>17.830416666666668</v>
      </c>
      <c r="DP59" s="1902">
        <f>'B3 - COVID-19'!K59</f>
        <v>17.830416666666668</v>
      </c>
      <c r="DQ59" s="1902">
        <f>'B3 - COVID-19'!L59</f>
        <v>17.830416666666668</v>
      </c>
      <c r="DR59" s="1902">
        <f>'B3 - COVID-19'!M59</f>
        <v>17.830416666666668</v>
      </c>
      <c r="DS59" s="1902">
        <f>'B3 - COVID-19'!N59</f>
        <v>17.830416666666668</v>
      </c>
      <c r="DT59" s="1862">
        <f>'B3 - COVID-19'!O59</f>
        <v>57.395359999999997</v>
      </c>
      <c r="DU59" s="1862">
        <f>'B3 - COVID-19'!P59</f>
        <v>220.46086000000005</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1495.1606900000011</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12.25178</v>
      </c>
      <c r="JG60" s="2036">
        <f>'I - Capital RLM'!D60</f>
        <v>12.25178</v>
      </c>
      <c r="JH60" s="2036">
        <f>'I - Capital RLM'!E60</f>
        <v>0</v>
      </c>
      <c r="JI60" s="2118">
        <f>'I - Capital RLM'!F60</f>
        <v>0</v>
      </c>
      <c r="JJ60" s="2036">
        <f>'I - Capital RLM'!G60</f>
        <v>576</v>
      </c>
      <c r="JK60" s="2036">
        <f>'I - Capital RLM'!H60</f>
        <v>576</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63</v>
      </c>
      <c r="BJ61" s="2049"/>
      <c r="BK61" s="2255"/>
      <c r="BL61" s="2256" t="str">
        <f>'B - Monthly Positions'!H60</f>
        <v>33. Extrapolated Scenario</v>
      </c>
      <c r="BM61" s="2257"/>
      <c r="BN61" s="2257"/>
      <c r="BO61" s="2254">
        <f>'B - Monthly Positions'!K60</f>
        <v>162</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52</v>
      </c>
      <c r="BJ62" s="2276"/>
      <c r="BK62" s="2249"/>
      <c r="BL62" s="2277" t="str">
        <f>'B - Monthly Positions'!H61</f>
        <v>34. Year to Date Trend Scenario</v>
      </c>
      <c r="BM62" s="2278"/>
      <c r="BN62" s="2278"/>
      <c r="BO62" s="2279">
        <f>'B - Monthly Positions'!K61</f>
        <v>252</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88.960416666666646</v>
      </c>
      <c r="DL62" s="1907">
        <f>'B3 - COVID-19'!G62</f>
        <v>79.631999999999991</v>
      </c>
      <c r="DM62" s="1907">
        <f>'B3 - COVID-19'!H62</f>
        <v>79.631999999999991</v>
      </c>
      <c r="DN62" s="1907">
        <f>'B3 - COVID-19'!I62</f>
        <v>79.631999999999991</v>
      </c>
      <c r="DO62" s="1907">
        <f>'B3 - COVID-19'!J62</f>
        <v>79.631999999999991</v>
      </c>
      <c r="DP62" s="1907">
        <f>'B3 - COVID-19'!K62</f>
        <v>79.631999999999991</v>
      </c>
      <c r="DQ62" s="1907">
        <f>'B3 - COVID-19'!L62</f>
        <v>79.631999999999991</v>
      </c>
      <c r="DR62" s="1907">
        <f>'B3 - COVID-19'!M62</f>
        <v>79.631999999999991</v>
      </c>
      <c r="DS62" s="1907">
        <f>'B3 - COVID-19'!N62</f>
        <v>79.631999999999991</v>
      </c>
      <c r="DT62" s="1907">
        <f>'B3 - COVID-19'!O62</f>
        <v>194.36277999999999</v>
      </c>
      <c r="DU62" s="1907">
        <f>'B3 - COVID-19'!P62</f>
        <v>920.37919666666664</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11</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7935.2784100000008</v>
      </c>
      <c r="HS64" s="2036">
        <f>'F - SoFP'!E64</f>
        <v>7564</v>
      </c>
      <c r="HT64" s="2351">
        <f t="shared" si="19"/>
        <v>0</v>
      </c>
      <c r="JD64" s="2087">
        <f>'I - Capital RLM'!A64</f>
        <v>43</v>
      </c>
      <c r="JE64" s="2392" t="str">
        <f>'I - Capital RLM'!B64</f>
        <v>I.T.</v>
      </c>
      <c r="JF64" s="2009">
        <f>'I - Capital RLM'!C64</f>
        <v>1.0383499999999999</v>
      </c>
      <c r="JG64" s="2009">
        <f>'I - Capital RLM'!D64</f>
        <v>1.0383499999999999</v>
      </c>
      <c r="JH64" s="2117">
        <f>'I - Capital RLM'!E64</f>
        <v>0</v>
      </c>
      <c r="JI64" s="1942">
        <f>'I - Capital RLM'!F64</f>
        <v>0</v>
      </c>
      <c r="JJ64" s="2009">
        <f>'I - Capital RLM'!G64</f>
        <v>501.13637</v>
      </c>
      <c r="JK64" s="2009">
        <f>'I - Capital RLM'!H64</f>
        <v>501.13634000000002</v>
      </c>
      <c r="JL64" s="2117">
        <f>'I - Capital RLM'!I64</f>
        <v>-2.99999999811007E-5</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21</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282.66666666666669</v>
      </c>
      <c r="CU65" s="1341">
        <f>'B2 - Pay &amp; Agency'!G65</f>
        <v>282.66666666666669</v>
      </c>
      <c r="CV65" s="1341">
        <f>'B2 - Pay &amp; Agency'!H65</f>
        <v>282.66666666666669</v>
      </c>
      <c r="CW65" s="1341">
        <f>'B2 - Pay &amp; Agency'!I65</f>
        <v>282.66666666666669</v>
      </c>
      <c r="CX65" s="1341">
        <f>'B2 - Pay &amp; Agency'!J65</f>
        <v>282.66666666666669</v>
      </c>
      <c r="CY65" s="1341">
        <f>'B2 - Pay &amp; Agency'!K65</f>
        <v>282.66666666666669</v>
      </c>
      <c r="CZ65" s="1341">
        <f>'B2 - Pay &amp; Agency'!L65</f>
        <v>282.66666666666669</v>
      </c>
      <c r="DA65" s="1341">
        <f>'B2 - Pay &amp; Agency'!M65</f>
        <v>282.66666666666669</v>
      </c>
      <c r="DB65" s="1342">
        <f>'B2 - Pay &amp; Agency'!N65</f>
        <v>282.66666666666669</v>
      </c>
      <c r="DC65" s="1343">
        <f>'B2 - Pay &amp; Agency'!O65</f>
        <v>848</v>
      </c>
      <c r="DD65" s="1344">
        <f>'B2 - Pay &amp; Agency'!P65</f>
        <v>3391.9999999999995</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0</v>
      </c>
      <c r="JG65" s="2009">
        <f>'I - Capital RLM'!D65</f>
        <v>0</v>
      </c>
      <c r="JH65" s="2117">
        <f>'I - Capital RLM'!E65</f>
        <v>0</v>
      </c>
      <c r="JI65" s="1942">
        <f>'I - Capital RLM'!F65</f>
        <v>0</v>
      </c>
      <c r="JJ65" s="2009">
        <f>'I - Capital RLM'!G65</f>
        <v>174.47577999999999</v>
      </c>
      <c r="JK65" s="2009">
        <f>'I - Capital RLM'!H65</f>
        <v>174.47577999999999</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7</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44.177999999999997</v>
      </c>
      <c r="DL66" s="1329">
        <f>'B3 - COVID-19'!G66</f>
        <v>44.177999999999997</v>
      </c>
      <c r="DM66" s="1329">
        <f>'B3 - COVID-19'!H66</f>
        <v>104.178</v>
      </c>
      <c r="DN66" s="1329">
        <f>'B3 - COVID-19'!I66</f>
        <v>116.678</v>
      </c>
      <c r="DO66" s="1329">
        <f>'B3 - COVID-19'!J66</f>
        <v>31.678000000000001</v>
      </c>
      <c r="DP66" s="1329">
        <f>'B3 - COVID-19'!K66</f>
        <v>31.678000000000001</v>
      </c>
      <c r="DQ66" s="1329">
        <f>'B3 - COVID-19'!L66</f>
        <v>31.678000000000001</v>
      </c>
      <c r="DR66" s="1329">
        <f>'B3 - COVID-19'!M66</f>
        <v>63.964276650000002</v>
      </c>
      <c r="DS66" s="1329">
        <f>'B3 - COVID-19'!N66</f>
        <v>63.96227665</v>
      </c>
      <c r="DT66" s="1862">
        <f>'B3 - COVID-19'!O66</f>
        <v>37.448250000000002</v>
      </c>
      <c r="DU66" s="1862">
        <f>'B3 - COVID-19'!P66</f>
        <v>569.62080330000003</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971</v>
      </c>
      <c r="HS67" s="2402"/>
      <c r="HT67" s="2351">
        <f t="shared" si="19"/>
        <v>0</v>
      </c>
      <c r="JD67" s="2087">
        <f>'I - Capital RLM'!A67</f>
        <v>46</v>
      </c>
      <c r="JE67" s="2392" t="str">
        <f>'I - Capital RLM'!B67</f>
        <v>Estates</v>
      </c>
      <c r="JF67" s="2009">
        <f>'I - Capital RLM'!C67</f>
        <v>0</v>
      </c>
      <c r="JG67" s="2009">
        <f>'I - Capital RLM'!D67</f>
        <v>0</v>
      </c>
      <c r="JH67" s="2117">
        <f>'I - Capital RLM'!E67</f>
        <v>0</v>
      </c>
      <c r="JI67" s="1942">
        <f>'I - Capital RLM'!F67</f>
        <v>0</v>
      </c>
      <c r="JJ67" s="2009">
        <f>'I - Capital RLM'!G67</f>
        <v>226.11799999999999</v>
      </c>
      <c r="JK67" s="2009">
        <f>'I - Capital RLM'!H67</f>
        <v>226.11799999999999</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48</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331.27</v>
      </c>
      <c r="JK68" s="2051">
        <f>'I - Capital RLM'!H68</f>
        <v>331.27</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10</v>
      </c>
      <c r="HS69" s="2402"/>
      <c r="HT69" s="2351"/>
      <c r="JD69" s="2300">
        <f>'I - Capital RLM'!A69</f>
        <v>48</v>
      </c>
      <c r="JE69" s="2360" t="str">
        <f>'I - Capital RLM'!B69</f>
        <v>Sub Total</v>
      </c>
      <c r="JF69" s="2036">
        <f>'I - Capital RLM'!C69</f>
        <v>0.81893999999999989</v>
      </c>
      <c r="JG69" s="2036">
        <f>'I - Capital RLM'!D69</f>
        <v>0.81893999999999989</v>
      </c>
      <c r="JH69" s="2036">
        <f>'I - Capital RLM'!E69</f>
        <v>0</v>
      </c>
      <c r="JI69" s="1942">
        <f>'I - Capital RLM'!F69</f>
        <v>0</v>
      </c>
      <c r="JJ69" s="2036">
        <f>'I - Capital RLM'!G69</f>
        <v>1233.0001499999998</v>
      </c>
      <c r="JK69" s="2036">
        <f>'I - Capital RLM'!H69</f>
        <v>1233.0001199999999</v>
      </c>
      <c r="JL69" s="2036">
        <f>'I - Capital RLM'!I69</f>
        <v>-2.99999999811007E-5</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903.74999999999989</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903.74999999999989</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5</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168.17</v>
      </c>
      <c r="BM73" s="1788">
        <f>'B - Monthly Positions'!I72</f>
        <v>168.17</v>
      </c>
      <c r="BN73" s="1788">
        <f>'B - Monthly Positions'!J72</f>
        <v>168.17</v>
      </c>
      <c r="BO73" s="1788">
        <f>'B - Monthly Positions'!K72</f>
        <v>168.17</v>
      </c>
      <c r="BP73" s="1788">
        <f>'B - Monthly Positions'!L72</f>
        <v>168.17</v>
      </c>
      <c r="BQ73" s="1788">
        <f>'B - Monthly Positions'!M72</f>
        <v>168.17</v>
      </c>
      <c r="BR73" s="1788">
        <f>'B - Monthly Positions'!N72</f>
        <v>168.17</v>
      </c>
      <c r="BS73" s="1838">
        <f>'B - Monthly Positions'!O72</f>
        <v>168.17</v>
      </c>
      <c r="BT73" s="74">
        <f>'B - Monthly Positions'!P72</f>
        <v>504.32100000000003</v>
      </c>
      <c r="BU73" s="937">
        <f>'B - Monthly Positions'!Q72</f>
        <v>2017.8510000000001</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47505</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226.25</v>
      </c>
      <c r="BM74" s="1782">
        <f>'B - Monthly Positions'!I73</f>
        <v>226.25</v>
      </c>
      <c r="BN74" s="1782">
        <f>'B - Monthly Positions'!J73</f>
        <v>226.25</v>
      </c>
      <c r="BO74" s="1782">
        <f>'B - Monthly Positions'!K73</f>
        <v>226.25</v>
      </c>
      <c r="BP74" s="1782">
        <f>'B - Monthly Positions'!L73</f>
        <v>226.25</v>
      </c>
      <c r="BQ74" s="1782">
        <f>'B - Monthly Positions'!M73</f>
        <v>226.25</v>
      </c>
      <c r="BR74" s="1782">
        <f>'B - Monthly Positions'!N73</f>
        <v>226.25</v>
      </c>
      <c r="BS74" s="1785">
        <f>'B - Monthly Positions'!O73</f>
        <v>226.25</v>
      </c>
      <c r="BT74" s="74">
        <f>'B - Monthly Positions'!P73</f>
        <v>678.75</v>
      </c>
      <c r="BU74" s="1066">
        <f>'B - Monthly Positions'!Q73</f>
        <v>2715</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44.177999999999997</v>
      </c>
      <c r="DL76" s="1906">
        <f>'B3 - COVID-19'!G76</f>
        <v>44.177999999999997</v>
      </c>
      <c r="DM76" s="1906">
        <f>'B3 - COVID-19'!H76</f>
        <v>104.178</v>
      </c>
      <c r="DN76" s="1906">
        <f>'B3 - COVID-19'!I76</f>
        <v>116.678</v>
      </c>
      <c r="DO76" s="1906">
        <f>'B3 - COVID-19'!J76</f>
        <v>31.678000000000001</v>
      </c>
      <c r="DP76" s="1906">
        <f>'B3 - COVID-19'!K76</f>
        <v>31.678000000000001</v>
      </c>
      <c r="DQ76" s="1906">
        <f>'B3 - COVID-19'!L76</f>
        <v>31.678000000000001</v>
      </c>
      <c r="DR76" s="1906">
        <f>'B3 - COVID-19'!M76</f>
        <v>63.964276650000002</v>
      </c>
      <c r="DS76" s="1906">
        <f>'B3 - COVID-19'!N76</f>
        <v>63.96227665</v>
      </c>
      <c r="DT76" s="1906">
        <f>'B3 - COVID-19'!O76</f>
        <v>37.448250000000002</v>
      </c>
      <c r="DU76" s="1906">
        <f>'B3 - COVID-19'!P76</f>
        <v>569.62080330000003</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843</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372.5</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133.13841666666664</v>
      </c>
      <c r="DL77" s="1911">
        <f>'B3 - COVID-19'!G77</f>
        <v>123.80999999999999</v>
      </c>
      <c r="DM77" s="1911">
        <f>'B3 - COVID-19'!H77</f>
        <v>183.81</v>
      </c>
      <c r="DN77" s="1911">
        <f>'B3 - COVID-19'!I77</f>
        <v>196.31</v>
      </c>
      <c r="DO77" s="1911">
        <f>'B3 - COVID-19'!J77</f>
        <v>111.30999999999999</v>
      </c>
      <c r="DP77" s="1911">
        <f>'B3 - COVID-19'!K77</f>
        <v>111.30999999999999</v>
      </c>
      <c r="DQ77" s="1911">
        <f>'B3 - COVID-19'!L77</f>
        <v>111.30999999999999</v>
      </c>
      <c r="DR77" s="1911">
        <f>'B3 - COVID-19'!M77</f>
        <v>143.59627664999999</v>
      </c>
      <c r="DS77" s="1911">
        <f>'B3 - COVID-19'!N77</f>
        <v>143.59427664999998</v>
      </c>
      <c r="DT77" s="1911">
        <f>'B3 - COVID-19'!O77</f>
        <v>231.81102999999999</v>
      </c>
      <c r="DU77" s="2491">
        <f>'B3 - COVID-19'!P77</f>
        <v>1489.9999999666666</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14833</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518.58999999999992</v>
      </c>
      <c r="BM78" s="1137">
        <f>'B - Monthly Positions'!I77</f>
        <v>518.58999999999992</v>
      </c>
      <c r="BN78" s="1137">
        <f>'B - Monthly Positions'!J77</f>
        <v>518.58999999999992</v>
      </c>
      <c r="BO78" s="1137">
        <f>'B - Monthly Positions'!K77</f>
        <v>518.58999999999992</v>
      </c>
      <c r="BP78" s="1137">
        <f>'B - Monthly Positions'!L77</f>
        <v>518.58999999999992</v>
      </c>
      <c r="BQ78" s="1137">
        <f>'B - Monthly Positions'!M77</f>
        <v>518.58999999999992</v>
      </c>
      <c r="BR78" s="1137">
        <f>'B - Monthly Positions'!N77</f>
        <v>518.58999999999992</v>
      </c>
      <c r="BS78" s="1137">
        <f>'B - Monthly Positions'!O77</f>
        <v>518.58999999999992</v>
      </c>
      <c r="BT78" s="1100">
        <f>'B - Monthly Positions'!P77</f>
        <v>1555.5709999999999</v>
      </c>
      <c r="BU78" s="1132">
        <f>'B - Monthly Positions'!Q77</f>
        <v>6222.8810000000003</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1809.0001199999999</v>
      </c>
      <c r="JU78" s="2036">
        <f>'J - Capital In Year Schemes'!E78</f>
        <v>1809.0001199999999</v>
      </c>
      <c r="JV78" s="2036">
        <f>'J - Capital In Year Schemes'!F78</f>
        <v>3.90937</v>
      </c>
      <c r="JW78" s="2036">
        <f>'J - Capital In Year Schemes'!G78</f>
        <v>4.3491500000000007</v>
      </c>
      <c r="JX78" s="2036">
        <f>'J - Capital In Year Schemes'!H78</f>
        <v>4.8121999999999998</v>
      </c>
      <c r="JY78" s="2036">
        <f>'J - Capital In Year Schemes'!I78</f>
        <v>3.1749999999999998</v>
      </c>
      <c r="JZ78" s="2036">
        <f>'J - Capital In Year Schemes'!J78</f>
        <v>114.97499999999999</v>
      </c>
      <c r="KA78" s="2036">
        <f>'J - Capital In Year Schemes'!K78</f>
        <v>117</v>
      </c>
      <c r="KB78" s="2036">
        <f>'J - Capital In Year Schemes'!L78</f>
        <v>261</v>
      </c>
      <c r="KC78" s="2036">
        <f>'J - Capital In Year Schemes'!M78</f>
        <v>327</v>
      </c>
      <c r="KD78" s="2036">
        <f>'J - Capital In Year Schemes'!N78</f>
        <v>328</v>
      </c>
      <c r="KE78" s="2036">
        <f>'J - Capital In Year Schemes'!O78</f>
        <v>214</v>
      </c>
      <c r="KF78" s="2036">
        <f>'J - Capital In Year Schemes'!P78</f>
        <v>214</v>
      </c>
      <c r="KG78" s="2036">
        <f>'J - Capital In Year Schemes'!Q78</f>
        <v>216.9</v>
      </c>
      <c r="KH78" s="2036">
        <f>'J - Capital In Year Schemes'!R78</f>
        <v>13.07072</v>
      </c>
      <c r="KI78" s="2036">
        <f>'J - Capital In Year Schemes'!S78</f>
        <v>1809.1207199999999</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265.55312969696968</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10.17</v>
      </c>
      <c r="BM80" s="1841">
        <f>'B - Monthly Positions'!I79</f>
        <v>10.17</v>
      </c>
      <c r="BN80" s="1841">
        <f>'B - Monthly Positions'!J79</f>
        <v>10.17</v>
      </c>
      <c r="BO80" s="1841">
        <f>'B - Monthly Positions'!K79</f>
        <v>10.17</v>
      </c>
      <c r="BP80" s="1841">
        <f>'B - Monthly Positions'!L79</f>
        <v>10.17</v>
      </c>
      <c r="BQ80" s="1841">
        <f>'B - Monthly Positions'!M79</f>
        <v>10.17</v>
      </c>
      <c r="BR80" s="1841">
        <f>'B - Monthly Positions'!N79</f>
        <v>10.17</v>
      </c>
      <c r="BS80" s="1842">
        <f>'B - Monthly Positions'!O79</f>
        <v>10.17</v>
      </c>
      <c r="BT80" s="1080">
        <f>'B - Monthly Positions'!P79</f>
        <v>30.47</v>
      </c>
      <c r="BU80" s="1066">
        <f>'B - Monthly Positions'!Q79</f>
        <v>122</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-13.611231818181807</v>
      </c>
      <c r="DL80" s="1907">
        <f>'B3 - COVID-19'!G80</f>
        <v>-4.2828151515151518</v>
      </c>
      <c r="DM80" s="1907">
        <f>'B3 - COVID-19'!H80</f>
        <v>-4.282815151515166</v>
      </c>
      <c r="DN80" s="1907">
        <f>'B3 - COVID-19'!I80</f>
        <v>-29.282815151515166</v>
      </c>
      <c r="DO80" s="1907">
        <f>'B3 - COVID-19'!J80</f>
        <v>-4.2828151515151518</v>
      </c>
      <c r="DP80" s="1907">
        <f>'B3 - COVID-19'!K80</f>
        <v>-4.2828151515151518</v>
      </c>
      <c r="DQ80" s="1907">
        <f>'B3 - COVID-19'!L80</f>
        <v>-4.2828151515151518</v>
      </c>
      <c r="DR80" s="1907">
        <f>'B3 - COVID-19'!M80</f>
        <v>15.282013198484862</v>
      </c>
      <c r="DS80" s="1907">
        <f>'B3 - COVID-19'!N80</f>
        <v>15.284013198484871</v>
      </c>
      <c r="DT80" s="1907">
        <f>'B3 - COVID-19'!O80</f>
        <v>33.742099696969689</v>
      </c>
      <c r="DU80" s="1907">
        <f>'B3 - COVID-19'!P80</f>
        <v>3.3666667604848044E-6</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49.25</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26.590000000000003</v>
      </c>
      <c r="BM83" s="1137">
        <f>'B - Monthly Positions'!I82</f>
        <v>26.590000000000003</v>
      </c>
      <c r="BN83" s="1137">
        <f>'B - Monthly Positions'!J82</f>
        <v>26.590000000000003</v>
      </c>
      <c r="BO83" s="1137">
        <f>'B - Monthly Positions'!K82</f>
        <v>26.590000000000003</v>
      </c>
      <c r="BP83" s="1137">
        <f>'B - Monthly Positions'!L82</f>
        <v>26.590000000000003</v>
      </c>
      <c r="BQ83" s="1137">
        <f>'B - Monthly Positions'!M82</f>
        <v>26.590000000000003</v>
      </c>
      <c r="BR83" s="1137">
        <f>'B - Monthly Positions'!N82</f>
        <v>26.590000000000003</v>
      </c>
      <c r="BS83" s="1137">
        <f>'B - Monthly Positions'!O82</f>
        <v>26.590000000000003</v>
      </c>
      <c r="BT83" s="1100">
        <f>'B - Monthly Positions'!P82</f>
        <v>79.72</v>
      </c>
      <c r="BU83" s="1132">
        <f>'B - Monthly Positions'!Q82</f>
        <v>319.03000000000003</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1903.425</v>
      </c>
      <c r="GW83" s="2527">
        <f>'E1 - Invoiced Income'!D83</f>
        <v>13595.196</v>
      </c>
      <c r="GX83" s="117">
        <f>'E1 - Invoiced Income'!E83</f>
        <v>15498.620999999999</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265.55316969696969</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82.17770999999999</v>
      </c>
      <c r="DK85" s="1325">
        <f>'B3 - COVID-19'!F85</f>
        <v>133.13841666666664</v>
      </c>
      <c r="DL85" s="1325">
        <f>'B3 - COVID-19'!G85</f>
        <v>123.80999999999999</v>
      </c>
      <c r="DM85" s="1325">
        <f>'B3 - COVID-19'!H85</f>
        <v>183.81</v>
      </c>
      <c r="DN85" s="1325">
        <f>'B3 - COVID-19'!I85</f>
        <v>196.31</v>
      </c>
      <c r="DO85" s="1325">
        <f>'B3 - COVID-19'!J85</f>
        <v>111.30999999999999</v>
      </c>
      <c r="DP85" s="1325">
        <f>'B3 - COVID-19'!K85</f>
        <v>111.30999999999999</v>
      </c>
      <c r="DQ85" s="1325">
        <f>'B3 - COVID-19'!L85</f>
        <v>111.30999999999999</v>
      </c>
      <c r="DR85" s="1325">
        <f>'B3 - COVID-19'!M85</f>
        <v>143.59618</v>
      </c>
      <c r="DS85" s="1334">
        <f>'B3 - COVID-19'!N85</f>
        <v>143.59417999999999</v>
      </c>
      <c r="DT85" s="1323">
        <f>'B3 - COVID-19'!O85</f>
        <v>231.81106999999997</v>
      </c>
      <c r="DU85" s="1324">
        <f>'B3 - COVID-19'!P85</f>
        <v>1489.9998466666666</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82.17770999999999</v>
      </c>
      <c r="DK87" s="2814">
        <f>'B3 - COVID-19'!F87</f>
        <v>133.13841666666664</v>
      </c>
      <c r="DL87" s="2814">
        <f>'B3 - COVID-19'!G87</f>
        <v>123.80999999999999</v>
      </c>
      <c r="DM87" s="2814">
        <f>'B3 - COVID-19'!H87</f>
        <v>183.81</v>
      </c>
      <c r="DN87" s="2814">
        <f>'B3 - COVID-19'!I87</f>
        <v>196.31</v>
      </c>
      <c r="DO87" s="2814">
        <f>'B3 - COVID-19'!J87</f>
        <v>111.30999999999999</v>
      </c>
      <c r="DP87" s="2814">
        <f>'B3 - COVID-19'!K87</f>
        <v>111.30999999999999</v>
      </c>
      <c r="DQ87" s="2814">
        <f>'B3 - COVID-19'!L87</f>
        <v>111.30999999999999</v>
      </c>
      <c r="DR87" s="2814">
        <f>'B3 - COVID-19'!M87</f>
        <v>143.59618</v>
      </c>
      <c r="DS87" s="2815">
        <f>'B3 - COVID-19'!N87</f>
        <v>143.59417999999999</v>
      </c>
      <c r="DT87" s="1109">
        <f>'B3 - COVID-19'!O87</f>
        <v>231.81106999999997</v>
      </c>
      <c r="DU87" s="1219">
        <f>'B3 - COVID-19'!P87</f>
        <v>1489.9998466666666</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-37.349474848484846</v>
      </c>
      <c r="DK88" s="2811">
        <f>'B3 - COVID-19'!F88</f>
        <v>13.611231818181807</v>
      </c>
      <c r="DL88" s="2811">
        <f>'B3 - COVID-19'!G88</f>
        <v>4.2828151515151518</v>
      </c>
      <c r="DM88" s="2811">
        <f>'B3 - COVID-19'!H88</f>
        <v>4.282815151515166</v>
      </c>
      <c r="DN88" s="2811">
        <f>'B3 - COVID-19'!I88</f>
        <v>29.282815151515166</v>
      </c>
      <c r="DO88" s="2811">
        <f>'B3 - COVID-19'!J88</f>
        <v>4.2828151515151518</v>
      </c>
      <c r="DP88" s="2811">
        <f>'B3 - COVID-19'!K88</f>
        <v>4.2828151515151518</v>
      </c>
      <c r="DQ88" s="2811">
        <f>'B3 - COVID-19'!L88</f>
        <v>4.2828151515151518</v>
      </c>
      <c r="DR88" s="2811">
        <f>'B3 - COVID-19'!M88</f>
        <v>-15.282109848484851</v>
      </c>
      <c r="DS88" s="2812">
        <f>'B3 - COVID-19'!N88</f>
        <v>-15.28410984848486</v>
      </c>
      <c r="DT88" s="1685">
        <f>'B3 - COVID-19'!O88</f>
        <v>-33.742099696969717</v>
      </c>
      <c r="DU88" s="2517">
        <f>'B3 - COVID-19'!P88</f>
        <v>-1.9666666662487842E-4</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-9.6649999989040225E-5</v>
      </c>
      <c r="DS90" s="1340">
        <f>'B3 - COVID-19'!N90</f>
        <v>-9.6649999989040225E-5</v>
      </c>
      <c r="DT90" s="1340">
        <f>'B3 - COVID-19'!O90</f>
        <v>3.9999999984274837E-5</v>
      </c>
      <c r="DU90" s="1866">
        <f>'B3 - COVID-19'!P90</f>
        <v>-1.532999999653839E-4</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13.07072</v>
      </c>
      <c r="JG95" s="2036">
        <f>'I - Capital RLM'!D95</f>
        <v>13.07072</v>
      </c>
      <c r="JH95" s="2036">
        <f>'I - Capital RLM'!E95</f>
        <v>0</v>
      </c>
      <c r="JI95" s="1942">
        <f>'I - Capital RLM'!F95</f>
        <v>0</v>
      </c>
      <c r="JJ95" s="2036">
        <f>'I - Capital RLM'!G95</f>
        <v>1809.0001499999998</v>
      </c>
      <c r="JK95" s="2036">
        <f>'I - Capital RLM'!H95</f>
        <v>1809.0001199999999</v>
      </c>
      <c r="JL95" s="2036">
        <f>'I - Capital RLM'!I95</f>
        <v>-2.9999999924257281E-5</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19</v>
      </c>
      <c r="BL96" s="3002">
        <f>'B - Monthly Positions'!H96</f>
        <v>19</v>
      </c>
      <c r="BM96" s="3002">
        <f>'B - Monthly Positions'!I96</f>
        <v>19</v>
      </c>
      <c r="BN96" s="3002">
        <f>'B - Monthly Positions'!J96</f>
        <v>19</v>
      </c>
      <c r="BO96" s="3002">
        <f>'B - Monthly Positions'!K96</f>
        <v>20</v>
      </c>
      <c r="BP96" s="3002">
        <f>'B - Monthly Positions'!L96</f>
        <v>20</v>
      </c>
      <c r="BQ96" s="3002">
        <f>'B - Monthly Positions'!M96</f>
        <v>20</v>
      </c>
      <c r="BR96" s="3002">
        <f>'B - Monthly Positions'!N96</f>
        <v>20</v>
      </c>
      <c r="BS96" s="3002">
        <f>'B - Monthly Positions'!O96</f>
        <v>19</v>
      </c>
      <c r="BT96" s="1100">
        <f>'B - Monthly Positions'!P96</f>
        <v>154</v>
      </c>
      <c r="BU96" s="1100">
        <f>'B - Monthly Positions'!Q96</f>
        <v>329</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903.74999999999989</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903.74999999999989</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691.5</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691.5</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13.07072</v>
      </c>
      <c r="JG129" s="2036">
        <f>'I - Capital RLM'!D129</f>
        <v>13.07072</v>
      </c>
      <c r="JH129" s="2036">
        <f>'I - Capital RLM'!E129</f>
        <v>0</v>
      </c>
      <c r="JI129" s="1942">
        <f>'I - Capital RLM'!F129</f>
        <v>0</v>
      </c>
      <c r="JJ129" s="2036">
        <f>'I - Capital RLM'!G129</f>
        <v>1809.0001499999998</v>
      </c>
      <c r="JK129" s="2036">
        <f>'I - Capital RLM'!H129</f>
        <v>1809.0001199999999</v>
      </c>
      <c r="JL129" s="2036">
        <f>'I - Capital RLM'!I129</f>
        <v>-2.9999999924257281E-5</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-1795.9292800000001</v>
      </c>
      <c r="JH131" s="2451">
        <f>'I - Capital RLM'!E131</f>
        <v>0</v>
      </c>
      <c r="JI131" s="1942">
        <f>'I - Capital RLM'!F131</f>
        <v>0</v>
      </c>
      <c r="JJ131" s="2451">
        <f>'I - Capital RLM'!G131</f>
        <v>0</v>
      </c>
      <c r="JK131" s="2036">
        <f>'I - Capital RLM'!H131</f>
        <v>1.199999999244028E-4</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1595.25</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1595.25</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3602.1674421769803</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1168.4178304284153</v>
      </c>
      <c r="DL148" s="2750">
        <f>'B3 - COVID-19'!G148</f>
        <v>1122.7011637617486</v>
      </c>
      <c r="DM148" s="2750">
        <f>'B3 - COVID-19'!H148</f>
        <v>1434.4386783715847</v>
      </c>
      <c r="DN148" s="2750">
        <f>'B3 - COVID-19'!I148</f>
        <v>1461.883655619672</v>
      </c>
      <c r="DO148" s="2750">
        <f>'B3 - COVID-19'!J148</f>
        <v>1388.1261898469945</v>
      </c>
      <c r="DP148" s="2750">
        <f>'B3 - COVID-19'!K148</f>
        <v>1631.308655619672</v>
      </c>
      <c r="DQ148" s="2750">
        <f>'B3 - COVID-19'!L148</f>
        <v>1420.883655619672</v>
      </c>
      <c r="DR148" s="2750">
        <f>'B3 - COVID-19'!M148</f>
        <v>1361.3131007243169</v>
      </c>
      <c r="DS148" s="2750">
        <f>'B3 - COVID-19'!N148</f>
        <v>1644.389797269672</v>
      </c>
      <c r="DT148" s="2754">
        <f>'B3 - COVID-19'!O148</f>
        <v>2865.1581200000001</v>
      </c>
      <c r="DU148" s="2755">
        <f>'B3 - COVID-19'!P148</f>
        <v>15498.620847261747</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-23.673596177520722</v>
      </c>
      <c r="DL149" s="2754">
        <f>'B3 - COVID-19'!G149</f>
        <v>12.543070489145975</v>
      </c>
      <c r="DM149" s="2754">
        <f>'B3 - COVID-19'!H149</f>
        <v>217.34867288783425</v>
      </c>
      <c r="DN149" s="2754">
        <f>'B3 - COVID-19'!I149</f>
        <v>-23.13570863385462</v>
      </c>
      <c r="DO149" s="2754">
        <f>'B3 - COVID-19'!J149</f>
        <v>-4.1578140053923107</v>
      </c>
      <c r="DP149" s="2754">
        <f>'B3 - COVID-19'!K149</f>
        <v>276.99668303281192</v>
      </c>
      <c r="DQ149" s="2754">
        <f>'B3 - COVID-19'!L149</f>
        <v>-4.1357086338546196</v>
      </c>
      <c r="DR149" s="2754">
        <f>'B3 - COVID-19'!M149</f>
        <v>3.4098539730703123</v>
      </c>
      <c r="DS149" s="2754">
        <f>'B3 - COVID-19'!N149</f>
        <v>239.17437860503401</v>
      </c>
      <c r="DT149" s="2754">
        <f>'B3 - COVID-19'!O149</f>
        <v>737.00932217698005</v>
      </c>
      <c r="DU149" s="2755">
        <f>'B3 - COVID-19'!P149</f>
        <v>1431.3791537142542</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3602.1672521769801</v>
      </c>
      <c r="DU151" s="2755">
        <f>'B3 - COVID-19'!P151</f>
        <v>16929.999810976002</v>
      </c>
      <c r="DV151" s="608"/>
      <c r="DW151" s="1115"/>
      <c r="LL151" s="813"/>
      <c r="LM151" s="641"/>
      <c r="LN151" s="642"/>
      <c r="LO151" s="643"/>
      <c r="LP151" s="833">
        <f>'M - Aged Debtors'!E151</f>
        <v>42887.98</v>
      </c>
      <c r="LQ151" s="833">
        <f>'M - Aged Debtors'!F151</f>
        <v>42098.170000000006</v>
      </c>
      <c r="LR151" s="644"/>
      <c r="LS151" s="834">
        <f>'M - Aged Debtors'!H151</f>
        <v>42098.170000000006</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984.98723000000007</v>
      </c>
      <c r="DI152" s="2750">
        <f>'B3 - COVID-19'!D152</f>
        <v>918.43759999999997</v>
      </c>
      <c r="DJ152" s="2750">
        <f>'B3 - COVID-19'!E152</f>
        <v>961.73333000000002</v>
      </c>
      <c r="DK152" s="2750">
        <f>'B3 - COVID-19'!F152</f>
        <v>1168.4178304284153</v>
      </c>
      <c r="DL152" s="2750">
        <f>'B3 - COVID-19'!G152</f>
        <v>1122.7011637617486</v>
      </c>
      <c r="DM152" s="2750">
        <f>'B3 - COVID-19'!H152</f>
        <v>1434.4386783715847</v>
      </c>
      <c r="DN152" s="2750">
        <f>'B3 - COVID-19'!I152</f>
        <v>1461.883655619672</v>
      </c>
      <c r="DO152" s="2750">
        <f>'B3 - COVID-19'!J152</f>
        <v>1388.1261898469945</v>
      </c>
      <c r="DP152" s="2750">
        <f>'B3 - COVID-19'!K152</f>
        <v>1631.308655619672</v>
      </c>
      <c r="DQ152" s="2750">
        <f>'B3 - COVID-19'!L152</f>
        <v>1420.883655619672</v>
      </c>
      <c r="DR152" s="2750">
        <f>'B3 - COVID-19'!M152</f>
        <v>1361.313004074317</v>
      </c>
      <c r="DS152" s="2750">
        <f>'B3 - COVID-19'!N152</f>
        <v>1644.3897006196721</v>
      </c>
      <c r="DT152" s="2754">
        <f>'B3 - COVID-19'!O152</f>
        <v>2865.15816</v>
      </c>
      <c r="DU152" s="2755">
        <f>'B3 - COVID-19'!P152</f>
        <v>15498.620693961748</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984.98723000000007</v>
      </c>
      <c r="DI154" s="2754">
        <f>'B3 - COVID-19'!D154</f>
        <v>918.43759999999997</v>
      </c>
      <c r="DJ154" s="2754">
        <f>'B3 - COVID-19'!E154</f>
        <v>961.73333000000002</v>
      </c>
      <c r="DK154" s="2754">
        <f>'B3 - COVID-19'!F154</f>
        <v>1168.4178304284153</v>
      </c>
      <c r="DL154" s="2754">
        <f>'B3 - COVID-19'!G154</f>
        <v>1122.7011637617486</v>
      </c>
      <c r="DM154" s="2754">
        <f>'B3 - COVID-19'!H154</f>
        <v>1434.4386783715847</v>
      </c>
      <c r="DN154" s="2754">
        <f>'B3 - COVID-19'!I154</f>
        <v>1461.883655619672</v>
      </c>
      <c r="DO154" s="2754">
        <f>'B3 - COVID-19'!J154</f>
        <v>1388.1261898469945</v>
      </c>
      <c r="DP154" s="2754">
        <f>'B3 - COVID-19'!K154</f>
        <v>1631.308655619672</v>
      </c>
      <c r="DQ154" s="2754">
        <f>'B3 - COVID-19'!L154</f>
        <v>1420.883655619672</v>
      </c>
      <c r="DR154" s="2754">
        <f>'B3 - COVID-19'!M154</f>
        <v>1361.313004074317</v>
      </c>
      <c r="DS154" s="2754">
        <f>'B3 - COVID-19'!N154</f>
        <v>1644.3897006196721</v>
      </c>
      <c r="DT154" s="2754">
        <f>'B3 - COVID-19'!O154</f>
        <v>2865.15816</v>
      </c>
      <c r="DU154" s="2755">
        <f>'B3 - COVID-19'!P154</f>
        <v>15498.620693961748</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2.3000000010142685E-4</v>
      </c>
      <c r="DI155" s="2759">
        <f>'B3 - COVID-19'!D155</f>
        <v>-128.49630925089446</v>
      </c>
      <c r="DJ155" s="2759">
        <f>'B3 - COVID-19'!E155</f>
        <v>-608.51301292608559</v>
      </c>
      <c r="DK155" s="2759">
        <f>'B3 - COVID-19'!F155</f>
        <v>23.673596177520722</v>
      </c>
      <c r="DL155" s="2759">
        <f>'B3 - COVID-19'!G155</f>
        <v>-12.543070489145975</v>
      </c>
      <c r="DM155" s="2759">
        <f>'B3 - COVID-19'!H155</f>
        <v>-217.34867288783425</v>
      </c>
      <c r="DN155" s="2759">
        <f>'B3 - COVID-19'!I155</f>
        <v>23.13570863385462</v>
      </c>
      <c r="DO155" s="2759">
        <f>'B3 - COVID-19'!J155</f>
        <v>4.1578140053923107</v>
      </c>
      <c r="DP155" s="2759">
        <f>'B3 - COVID-19'!K155</f>
        <v>-276.99668303281192</v>
      </c>
      <c r="DQ155" s="2759">
        <f>'B3 - COVID-19'!L155</f>
        <v>4.1357086338546196</v>
      </c>
      <c r="DR155" s="2759">
        <f>'B3 - COVID-19'!M155</f>
        <v>-3.4099506230702445</v>
      </c>
      <c r="DS155" s="2759">
        <f>'B3 - COVID-19'!N155</f>
        <v>-239.17447525503394</v>
      </c>
      <c r="DT155" s="2759">
        <f>'B3 - COVID-19'!O155</f>
        <v>-737.00909217698018</v>
      </c>
      <c r="DU155" s="2760">
        <f>'B3 - COVID-19'!P155</f>
        <v>-1431.379117014254</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42098.170000000006</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4.0000000012696546E-5</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-9.6649999932196806E-5</v>
      </c>
      <c r="DS158" s="2751">
        <f>'B3 - COVID-19'!N158</f>
        <v>-9.6649999932196806E-5</v>
      </c>
      <c r="DT158" s="2753">
        <f>'B3 - COVID-19'!O158</f>
        <v>4.0000000012696546E-5</v>
      </c>
      <c r="DU158" s="2755">
        <f>'B3 - COVID-19'!P158</f>
        <v>-1.5329999985169707E-4</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2.3000000010142685E-4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-9.6649999932196806E-5</v>
      </c>
      <c r="DS159" s="2760">
        <f>'B3 - COVID-19'!N159</f>
        <v>-9.6649999932196806E-5</v>
      </c>
      <c r="DT159" s="2758">
        <f>'B3 - COVID-19'!O159</f>
        <v>2.3000000010142685E-4</v>
      </c>
      <c r="DU159" s="2760">
        <f>'B3 - COVID-19'!P159</f>
        <v>3.6700000237033237E-5</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43.62764</v>
      </c>
      <c r="DL167" s="2716">
        <f>'B3 - COVID-19'!W23</f>
        <v>43.62764</v>
      </c>
      <c r="DM167" s="2716">
        <f>'B3 - COVID-19'!X23</f>
        <v>43.62764</v>
      </c>
      <c r="DN167" s="2716">
        <f>'B3 - COVID-19'!Y23</f>
        <v>43.62764</v>
      </c>
      <c r="DO167" s="2716">
        <f>'B3 - COVID-19'!Z23</f>
        <v>43.62764</v>
      </c>
      <c r="DP167" s="2716">
        <f>'B3 - COVID-19'!AA23</f>
        <v>43.62764</v>
      </c>
      <c r="DQ167" s="2716">
        <f>'B3 - COVID-19'!AB23</f>
        <v>43.62764</v>
      </c>
      <c r="DR167" s="2716">
        <f>'B3 - COVID-19'!AC23</f>
        <v>43.62764</v>
      </c>
      <c r="DS167" s="2716">
        <f>'B3 - COVID-19'!AD23</f>
        <v>43.62764</v>
      </c>
      <c r="DT167" s="1862">
        <f>'B3 - COVID-19'!AE23</f>
        <v>130.88290999999998</v>
      </c>
      <c r="DU167" s="1862">
        <f>'B3 - COVID-19'!AF23</f>
        <v>523.53166999999985</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706.86973999999998</v>
      </c>
      <c r="DK168" s="2716">
        <f>'B3 - COVID-19'!V24</f>
        <v>569.81143162841522</v>
      </c>
      <c r="DL168" s="2716">
        <f>'B3 - COVID-19'!W24</f>
        <v>569.81143162841522</v>
      </c>
      <c r="DM168" s="2716">
        <f>'B3 - COVID-19'!X24</f>
        <v>551.43041770491811</v>
      </c>
      <c r="DN168" s="2716">
        <f>'B3 - COVID-19'!Y24</f>
        <v>782.2788301530054</v>
      </c>
      <c r="DO168" s="2716">
        <f>'B3 - COVID-19'!Z24</f>
        <v>757.04402918032781</v>
      </c>
      <c r="DP168" s="2716">
        <f>'B3 - COVID-19'!AA24</f>
        <v>782.2788301530054</v>
      </c>
      <c r="DQ168" s="2716">
        <f>'B3 - COVID-19'!AB24</f>
        <v>782.2788301530054</v>
      </c>
      <c r="DR168" s="2716">
        <f>'B3 - COVID-19'!AC24</f>
        <v>731.80922820765022</v>
      </c>
      <c r="DS168" s="2716">
        <f>'B3 - COVID-19'!AD24</f>
        <v>782.2788301530054</v>
      </c>
      <c r="DT168" s="1862">
        <f>'B3 - COVID-19'!AE24</f>
        <v>2022.0656199999999</v>
      </c>
      <c r="DU168" s="1862">
        <f>'B3 - COVID-19'!AF24</f>
        <v>8331.0874789617483</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12</v>
      </c>
      <c r="DL169" s="2716">
        <f>'B3 - COVID-19'!W25</f>
        <v>12</v>
      </c>
      <c r="DM169" s="2716">
        <f>'B3 - COVID-19'!X25</f>
        <v>12</v>
      </c>
      <c r="DN169" s="2716">
        <f>'B3 - COVID-19'!Y25</f>
        <v>12</v>
      </c>
      <c r="DO169" s="2716">
        <f>'B3 - COVID-19'!Z25</f>
        <v>15</v>
      </c>
      <c r="DP169" s="2716">
        <f>'B3 - COVID-19'!AA25</f>
        <v>15</v>
      </c>
      <c r="DQ169" s="2716">
        <f>'B3 - COVID-19'!AB25</f>
        <v>15</v>
      </c>
      <c r="DR169" s="2716">
        <f>'B3 - COVID-19'!AC25</f>
        <v>12</v>
      </c>
      <c r="DS169" s="2716">
        <f>'B3 - COVID-19'!AD25</f>
        <v>12</v>
      </c>
      <c r="DT169" s="1862">
        <f>'B3 - COVID-19'!AE25</f>
        <v>41.0747</v>
      </c>
      <c r="DU169" s="1862">
        <f>'B3 - COVID-19'!AF25</f>
        <v>158.07470000000001</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8.5999999999999993E-2</v>
      </c>
      <c r="DL170" s="2716">
        <f>'B3 - COVID-19'!W26</f>
        <v>8.5999999999999993E-2</v>
      </c>
      <c r="DM170" s="2716">
        <f>'B3 - COVID-19'!X26</f>
        <v>8.3000000000000004E-2</v>
      </c>
      <c r="DN170" s="2716">
        <f>'B3 - COVID-19'!Y26</f>
        <v>0.11799999999999999</v>
      </c>
      <c r="DO170" s="2716">
        <f>'B3 - COVID-19'!Z26</f>
        <v>0.114</v>
      </c>
      <c r="DP170" s="2716">
        <f>'B3 - COVID-19'!AA26</f>
        <v>0.11799999999999999</v>
      </c>
      <c r="DQ170" s="2716">
        <f>'B3 - COVID-19'!AB26</f>
        <v>0.11799999999999999</v>
      </c>
      <c r="DR170" s="2716">
        <f>'B3 - COVID-19'!AC26</f>
        <v>0.111</v>
      </c>
      <c r="DS170" s="2716">
        <f>'B3 - COVID-19'!AD26</f>
        <v>0.11799999999999999</v>
      </c>
      <c r="DT170" s="1862">
        <f>'B3 - COVID-19'!AE26</f>
        <v>6.1724699999999997</v>
      </c>
      <c r="DU170" s="1862">
        <f>'B3 - COVID-19'!AF26</f>
        <v>7.1244700000000014</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233.07860880000001</v>
      </c>
      <c r="DL171" s="2716">
        <f>'B3 - COVID-19'!W27</f>
        <v>233.07860880000001</v>
      </c>
      <c r="DM171" s="2716">
        <f>'B3 - COVID-19'!X27</f>
        <v>225.55994400000003</v>
      </c>
      <c r="DN171" s="2716">
        <f>'B3 - COVID-19'!Y27</f>
        <v>233.07860880000001</v>
      </c>
      <c r="DO171" s="2716">
        <f>'B3 - COVID-19'!Z27</f>
        <v>225.55994400000003</v>
      </c>
      <c r="DP171" s="2716">
        <f>'B3 - COVID-19'!AA27</f>
        <v>233.07860880000001</v>
      </c>
      <c r="DQ171" s="2716">
        <f>'B3 - COVID-19'!AB27</f>
        <v>233.07860880000001</v>
      </c>
      <c r="DR171" s="2716">
        <f>'B3 - COVID-19'!AC27</f>
        <v>218.04127919999996</v>
      </c>
      <c r="DS171" s="2716">
        <f>'B3 - COVID-19'!AD27</f>
        <v>233.07860880000001</v>
      </c>
      <c r="DT171" s="1862">
        <f>'B3 - COVID-19'!AE27</f>
        <v>148.91818000000001</v>
      </c>
      <c r="DU171" s="1862">
        <f>'B3 - COVID-19'!AF27</f>
        <v>2216.5509999999999</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20.5</v>
      </c>
      <c r="DL172" s="2716">
        <f>'B3 - COVID-19'!W28</f>
        <v>20.5</v>
      </c>
      <c r="DM172" s="2716">
        <f>'B3 - COVID-19'!X28</f>
        <v>30.75</v>
      </c>
      <c r="DN172" s="2716">
        <f>'B3 - COVID-19'!Y28</f>
        <v>41</v>
      </c>
      <c r="DO172" s="2716">
        <f>'B3 - COVID-19'!Z28</f>
        <v>82</v>
      </c>
      <c r="DP172" s="2716">
        <f>'B3 - COVID-19'!AA28</f>
        <v>102.5</v>
      </c>
      <c r="DQ172" s="2716">
        <f>'B3 - COVID-19'!AB28</f>
        <v>82</v>
      </c>
      <c r="DR172" s="2716">
        <f>'B3 - COVID-19'!AC28</f>
        <v>61.5</v>
      </c>
      <c r="DS172" s="2716">
        <f>'B3 - COVID-19'!AD28</f>
        <v>41</v>
      </c>
      <c r="DT172" s="1862">
        <f>'B3 - COVID-19'!AE28</f>
        <v>91.615830000000003</v>
      </c>
      <c r="DU172" s="1862">
        <f>'B3 - COVID-19'!AF28</f>
        <v>573.36582999999996</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73.75</v>
      </c>
      <c r="DL173" s="2716">
        <f>'B3 - COVID-19'!W29</f>
        <v>0</v>
      </c>
      <c r="DM173" s="2716">
        <f>'B3 - COVID-19'!X29</f>
        <v>78.75</v>
      </c>
      <c r="DN173" s="2716">
        <f>'B3 - COVID-19'!Y29</f>
        <v>0</v>
      </c>
      <c r="DO173" s="2716">
        <f>'B3 - COVID-19'!Z29</f>
        <v>0</v>
      </c>
      <c r="DP173" s="2716">
        <f>'B3 - COVID-19'!AA29</f>
        <v>82.125</v>
      </c>
      <c r="DQ173" s="2716">
        <f>'B3 - COVID-19'!AB29</f>
        <v>0</v>
      </c>
      <c r="DR173" s="2716">
        <f>'B3 - COVID-19'!AC29</f>
        <v>0</v>
      </c>
      <c r="DS173" s="2716">
        <f>'B3 - COVID-19'!AD29</f>
        <v>82.125</v>
      </c>
      <c r="DT173" s="1862">
        <f>'B3 - COVID-19'!AE29</f>
        <v>0.34129000000000076</v>
      </c>
      <c r="DU173" s="1862">
        <f>'B3 - COVID-19'!AF29</f>
        <v>317.09129000000001</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f>'B3 - COVID-19'!R30</f>
        <v>0</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0</v>
      </c>
      <c r="DR174" s="2716">
        <f>'B3 - COVID-19'!AC30</f>
        <v>0</v>
      </c>
      <c r="DS174" s="2716">
        <f>'B3 - COVID-19'!AD30</f>
        <v>0</v>
      </c>
      <c r="DT174" s="1862">
        <f>'B3 - COVID-19'!AE30</f>
        <v>0</v>
      </c>
      <c r="DU174" s="1862">
        <f>'B3 - COVID-19'!AF30</f>
        <v>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f>'B3 - COVID-19'!R31</f>
        <v>0</v>
      </c>
      <c r="DH175" s="2716">
        <f>'B3 - COVID-19'!S31</f>
        <v>0</v>
      </c>
      <c r="DI175" s="2716">
        <f>'B3 - COVID-19'!T31</f>
        <v>0</v>
      </c>
      <c r="DJ175" s="2716">
        <f>'B3 - COVID-19'!U31</f>
        <v>0</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0</v>
      </c>
      <c r="DU175" s="1862">
        <f>'B3 - COVID-19'!AF31</f>
        <v>0</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f>'B3 - COVID-19'!R32</f>
        <v>0</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0</v>
      </c>
      <c r="DQ176" s="2716">
        <f>'B3 - COVID-19'!AB32</f>
        <v>0</v>
      </c>
      <c r="DR176" s="2716">
        <f>'B3 - COVID-19'!AC32</f>
        <v>0</v>
      </c>
      <c r="DS176" s="2716">
        <f>'B3 - COVID-19'!AD32</f>
        <v>0</v>
      </c>
      <c r="DT176" s="1862">
        <f>'B3 - COVID-19'!AE32</f>
        <v>0</v>
      </c>
      <c r="DU176" s="1862">
        <f>'B3 - COVID-19'!AF32</f>
        <v>0</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952.85368042841526</v>
      </c>
      <c r="DL178" s="2717">
        <f>'B3 - COVID-19'!W34</f>
        <v>879.10368042841526</v>
      </c>
      <c r="DM178" s="2717">
        <f>'B3 - COVID-19'!X34</f>
        <v>942.2010017049181</v>
      </c>
      <c r="DN178" s="2717">
        <f>'B3 - COVID-19'!Y34</f>
        <v>1112.1030789530055</v>
      </c>
      <c r="DO178" s="2717">
        <f>'B3 - COVID-19'!Z34</f>
        <v>1123.345613180328</v>
      </c>
      <c r="DP178" s="2717">
        <f>'B3 - COVID-19'!AA34</f>
        <v>1258.7280789530055</v>
      </c>
      <c r="DQ178" s="2717">
        <f>'B3 - COVID-19'!AB34</f>
        <v>1156.1030789530055</v>
      </c>
      <c r="DR178" s="2717">
        <f>'B3 - COVID-19'!AC34</f>
        <v>1067.0891474076502</v>
      </c>
      <c r="DS178" s="2717">
        <f>'B3 - COVID-19'!AD34</f>
        <v>1194.2280789530055</v>
      </c>
      <c r="DT178" s="2717">
        <f>'B3 - COVID-19'!AE34</f>
        <v>2441.0709999999999</v>
      </c>
      <c r="DU178" s="2717">
        <f>'B3 - COVID-19'!AF34</f>
        <v>12126.826438961749</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1595.25</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1595.25</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-1595.25</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-1595.25</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545.17999999999995</v>
      </c>
      <c r="CE212" s="1109">
        <f>' Table Z Net Exp Profiles'!H212</f>
        <v>545.17999999999995</v>
      </c>
      <c r="CF212" s="1109">
        <f>' Table Z Net Exp Profiles'!I212</f>
        <v>545.17999999999995</v>
      </c>
      <c r="CG212" s="1109">
        <f>' Table Z Net Exp Profiles'!J212</f>
        <v>545.17999999999995</v>
      </c>
      <c r="CH212" s="1109">
        <f>' Table Z Net Exp Profiles'!K212</f>
        <v>545.17999999999995</v>
      </c>
      <c r="CI212" s="1109">
        <f>' Table Z Net Exp Profiles'!L212</f>
        <v>545.17999999999995</v>
      </c>
      <c r="CJ212" s="1109">
        <f>' Table Z Net Exp Profiles'!M212</f>
        <v>545.17999999999995</v>
      </c>
      <c r="CK212" s="1109">
        <f>' Table Z Net Exp Profiles'!N212</f>
        <v>545.17999999999995</v>
      </c>
      <c r="CL212" s="1109">
        <f>' Table Z Net Exp Profiles'!O212</f>
        <v>1635.2909999999997</v>
      </c>
      <c r="CM212" s="1100">
        <f>' Table Z Net Exp Profiles'!P212</f>
        <v>6541.9110000000001</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20381.417830428414</v>
      </c>
      <c r="CD226" s="1282">
        <f>' Table Z Net Exp Profiles'!G226</f>
        <v>19277.701163761751</v>
      </c>
      <c r="CE226" s="1282">
        <f>' Table Z Net Exp Profiles'!H226</f>
        <v>19678.438678371585</v>
      </c>
      <c r="CF226" s="1282">
        <f>' Table Z Net Exp Profiles'!I226</f>
        <v>20228.883655619673</v>
      </c>
      <c r="CG226" s="1282">
        <f>' Table Z Net Exp Profiles'!J226</f>
        <v>19881.126189846997</v>
      </c>
      <c r="CH226" s="1282">
        <f>' Table Z Net Exp Profiles'!K226</f>
        <v>20180.308655619672</v>
      </c>
      <c r="CI226" s="1282">
        <f>' Table Z Net Exp Profiles'!L226</f>
        <v>19975.883655619673</v>
      </c>
      <c r="CJ226" s="1282">
        <f>' Table Z Net Exp Profiles'!M226</f>
        <v>19935.31300407432</v>
      </c>
      <c r="CK226" s="1282">
        <f>' Table Z Net Exp Profiles'!N226</f>
        <v>20965.389700619671</v>
      </c>
      <c r="CL226" s="1231">
        <f>' Table Z Net Exp Profiles'!O226</f>
        <v>55697</v>
      </c>
      <c r="CM226" s="1100">
        <f>' Table Z Net Exp Profiles'!P226</f>
        <v>236201.46253396178</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N17" sqref="N17"/>
    </sheetView>
  </sheetViews>
  <sheetFormatPr defaultColWidth="8.84375" defaultRowHeight="12.5"/>
  <cols>
    <col min="1" max="1" width="5.84375" style="9" customWidth="1"/>
    <col min="2" max="2" width="47.84375" style="9" customWidth="1"/>
    <col min="3" max="15" width="10.4609375" style="9" customWidth="1"/>
    <col min="16" max="17" width="8.84375" style="757"/>
    <col min="18" max="18" width="49" style="757" bestFit="1" customWidth="1"/>
    <col min="19" max="19" width="63.15234375" style="757" customWidth="1"/>
    <col min="20" max="16384" width="8.84375" style="9"/>
  </cols>
  <sheetData>
    <row r="1" spans="1:37" ht="37.5" customHeight="1">
      <c r="A1" s="1357" t="str">
        <f>+Summary!A1</f>
        <v>Public Health Wales Trust</v>
      </c>
      <c r="B1" s="373"/>
      <c r="C1" s="80"/>
      <c r="D1" s="373" t="s">
        <v>460</v>
      </c>
      <c r="E1" s="1303" t="str">
        <f>Summary!H1</f>
        <v>Jun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3</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0</v>
      </c>
      <c r="G6" s="107">
        <f t="shared" si="0"/>
        <v>0</v>
      </c>
      <c r="H6" s="107">
        <f t="shared" si="0"/>
        <v>0</v>
      </c>
      <c r="I6" s="107">
        <f t="shared" si="0"/>
        <v>0</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('B3 - COVID-19'!F10+'B3 - COVID-19'!F53+'B3 - COVID-19'!F96)+5925+49</f>
        <v>6070.7792499999996</v>
      </c>
      <c r="G10" s="1326">
        <f>('B3 - COVID-19'!G10+'B3 - COVID-19'!G53+'B3 - COVID-19'!G96)+5922+40</f>
        <v>6093.8004166666669</v>
      </c>
      <c r="H10" s="1326">
        <f>('B3 - COVID-19'!H10+'B3 - COVID-19'!H53+'B3 - COVID-19'!H96)+5931+34</f>
        <v>6113.3547349999999</v>
      </c>
      <c r="I10" s="1326">
        <f>('B3 - COVID-19'!I10+'B3 - COVID-19'!I53+'B3 - COVID-19'!I96)+5994+26</f>
        <v>6171.1976350000004</v>
      </c>
      <c r="J10" s="1326">
        <f>('B3 - COVID-19'!J10+'B3 - COVID-19'!J53+'B3 - COVID-19'!J96)+5993+26+1</f>
        <v>6171.1976350000004</v>
      </c>
      <c r="K10" s="1326">
        <f>('B3 - COVID-19'!K10+'B3 - COVID-19'!K53+'B3 - COVID-19'!K96)+5993+26+1</f>
        <v>6171.1976350000004</v>
      </c>
      <c r="L10" s="1326">
        <f>('B3 - COVID-19'!L10+'B3 - COVID-19'!L53+'B3 - COVID-19'!L96)+5986+26</f>
        <v>6163.1976350000004</v>
      </c>
      <c r="M10" s="1326">
        <f>('B3 - COVID-19'!M10+'B3 - COVID-19'!M53+'B3 - COVID-19'!M96)+5982+26</f>
        <v>6156.3547349999999</v>
      </c>
      <c r="N10" s="1333">
        <f>('B3 - COVID-19'!N10+'B3 - COVID-19'!N53+'B3 - COVID-19'!N96)+6096+24</f>
        <v>6266.4944999999998</v>
      </c>
      <c r="O10" s="1131">
        <f>SUMPRODUCT($C$6:$N$6,C10:N10)</f>
        <v>19520</v>
      </c>
      <c r="P10" s="1322">
        <f>SUM(C10:N10)</f>
        <v>74897.574176666676</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v>1367</v>
      </c>
      <c r="G11" s="1325">
        <v>1367</v>
      </c>
      <c r="H11" s="1325">
        <v>1373</v>
      </c>
      <c r="I11" s="1325">
        <v>1364</v>
      </c>
      <c r="J11" s="1325">
        <v>1364</v>
      </c>
      <c r="K11" s="1325">
        <v>1364</v>
      </c>
      <c r="L11" s="1325">
        <v>1364</v>
      </c>
      <c r="M11" s="1325">
        <v>1364</v>
      </c>
      <c r="N11" s="1334">
        <v>1365</v>
      </c>
      <c r="O11" s="1323">
        <f t="shared" ref="O11:O18" si="1">SUMPRODUCT($C$6:$N$6,C11:N11)</f>
        <v>3796</v>
      </c>
      <c r="P11" s="1324">
        <f t="shared" ref="P11:P18" si="2">SUM(C11:N11)</f>
        <v>16088</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v>456</v>
      </c>
      <c r="G12" s="1325">
        <v>456</v>
      </c>
      <c r="H12" s="1325">
        <v>456</v>
      </c>
      <c r="I12" s="1325">
        <v>454</v>
      </c>
      <c r="J12" s="1325">
        <v>454</v>
      </c>
      <c r="K12" s="1325">
        <v>454</v>
      </c>
      <c r="L12" s="1325">
        <v>454</v>
      </c>
      <c r="M12" s="1325">
        <v>454</v>
      </c>
      <c r="N12" s="1334">
        <v>463</v>
      </c>
      <c r="O12" s="1323">
        <f t="shared" si="1"/>
        <v>1543</v>
      </c>
      <c r="P12" s="1324">
        <f t="shared" si="2"/>
        <v>5644</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('B3 - COVID-19'!F14+'B3 - COVID-19'!F57+'B3 - COVID-19'!F100)+265</f>
        <v>268.01150000000001</v>
      </c>
      <c r="G14" s="1325">
        <f>('B3 - COVID-19'!G14+'B3 - COVID-19'!G57+'B3 - COVID-19'!G100)+265</f>
        <v>267.62175000000002</v>
      </c>
      <c r="H14" s="1325">
        <f>('B3 - COVID-19'!H14+'B3 - COVID-19'!H57+'B3 - COVID-19'!H100)+265</f>
        <v>267.62175000000002</v>
      </c>
      <c r="I14" s="1325">
        <f>('B3 - COVID-19'!I14+'B3 - COVID-19'!I57+'B3 - COVID-19'!I100)+266</f>
        <v>268.62175000000002</v>
      </c>
      <c r="J14" s="1325">
        <f>('B3 - COVID-19'!J14+'B3 - COVID-19'!J57+'B3 - COVID-19'!J100)+266</f>
        <v>268.62175000000002</v>
      </c>
      <c r="K14" s="1325">
        <f>('B3 - COVID-19'!K14+'B3 - COVID-19'!K57+'B3 - COVID-19'!K100)+266</f>
        <v>268.62175000000002</v>
      </c>
      <c r="L14" s="1325">
        <f>('B3 - COVID-19'!L14+'B3 - COVID-19'!L57+'B3 - COVID-19'!L100)+266</f>
        <v>268.62175000000002</v>
      </c>
      <c r="M14" s="1325">
        <f>('B3 - COVID-19'!M14+'B3 - COVID-19'!M57+'B3 - COVID-19'!M100)+266</f>
        <v>268.62175000000002</v>
      </c>
      <c r="N14" s="1325">
        <f>('B3 - COVID-19'!N14+'B3 - COVID-19'!N57+'B3 - COVID-19'!N100)+266</f>
        <v>268.62175000000002</v>
      </c>
      <c r="O14" s="1323">
        <f t="shared" si="1"/>
        <v>1019</v>
      </c>
      <c r="P14" s="1324">
        <f t="shared" si="2"/>
        <v>3433.9855000000016</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v>1159</v>
      </c>
      <c r="G15" s="1325">
        <v>1159</v>
      </c>
      <c r="H15" s="1325">
        <v>1159</v>
      </c>
      <c r="I15" s="1325">
        <v>1160</v>
      </c>
      <c r="J15" s="1325">
        <v>1160</v>
      </c>
      <c r="K15" s="1325">
        <v>1160</v>
      </c>
      <c r="L15" s="1325">
        <v>1164</v>
      </c>
      <c r="M15" s="1325">
        <v>1161</v>
      </c>
      <c r="N15" s="1334">
        <v>1161</v>
      </c>
      <c r="O15" s="1323">
        <f t="shared" si="1"/>
        <v>3289</v>
      </c>
      <c r="P15" s="1324">
        <f t="shared" si="2"/>
        <v>13732</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('B3 - COVID-19'!F16+'B3 - COVID-19'!F59)+1519</f>
        <v>1590.5953999999999</v>
      </c>
      <c r="G16" s="1325">
        <f>('B3 - COVID-19'!G16+'B3 - COVID-19'!G59)+1515</f>
        <v>1579.9973166666666</v>
      </c>
      <c r="H16" s="1325">
        <f>('B3 - COVID-19'!H16+'B3 - COVID-19'!H59)+1515</f>
        <v>1594.2831916666667</v>
      </c>
      <c r="I16" s="1325">
        <f>('B3 - COVID-19'!I16+'B3 - COVID-19'!I59)+1517</f>
        <v>1596.2831916666667</v>
      </c>
      <c r="J16" s="1325">
        <f>('B3 - COVID-19'!J16+'B3 - COVID-19'!J59)+1517</f>
        <v>1596.2831916666667</v>
      </c>
      <c r="K16" s="1325">
        <f>('B3 - COVID-19'!K16+'B3 - COVID-19'!K59)+1517</f>
        <v>1596.2831916666667</v>
      </c>
      <c r="L16" s="1325">
        <f>('B3 - COVID-19'!L16+'B3 - COVID-19'!L59)+1517</f>
        <v>1596.2831916666667</v>
      </c>
      <c r="M16" s="1325">
        <f>('B3 - COVID-19'!M16+'B3 - COVID-19'!M59)+1517</f>
        <v>1596.2831916666667</v>
      </c>
      <c r="N16" s="1334">
        <f>('B3 - COVID-19'!N16+'B3 - COVID-19'!N59)+1529</f>
        <v>1608.2831916666667</v>
      </c>
      <c r="O16" s="1323">
        <f t="shared" si="1"/>
        <v>5226</v>
      </c>
      <c r="P16" s="1324">
        <f t="shared" si="2"/>
        <v>19580.575058333336</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v>1</v>
      </c>
      <c r="G17" s="1325">
        <v>1</v>
      </c>
      <c r="H17" s="1325">
        <v>1</v>
      </c>
      <c r="I17" s="1325">
        <v>1</v>
      </c>
      <c r="J17" s="1325">
        <v>1</v>
      </c>
      <c r="K17" s="1325">
        <v>1</v>
      </c>
      <c r="L17" s="1325">
        <v>1</v>
      </c>
      <c r="M17" s="1325">
        <v>1</v>
      </c>
      <c r="N17" s="1334">
        <v>1</v>
      </c>
      <c r="O17" s="1323">
        <f t="shared" si="1"/>
        <v>5</v>
      </c>
      <c r="P17" s="1324">
        <f t="shared" si="2"/>
        <v>14</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10912.38615</v>
      </c>
      <c r="G19" s="1341">
        <f t="shared" si="3"/>
        <v>10924.419483333333</v>
      </c>
      <c r="H19" s="1341">
        <f t="shared" si="3"/>
        <v>10964.259676666667</v>
      </c>
      <c r="I19" s="1341">
        <f t="shared" si="3"/>
        <v>11015.102576666668</v>
      </c>
      <c r="J19" s="1341">
        <f t="shared" si="3"/>
        <v>11015.102576666668</v>
      </c>
      <c r="K19" s="1341">
        <f t="shared" si="3"/>
        <v>11015.102576666668</v>
      </c>
      <c r="L19" s="1341">
        <f t="shared" si="3"/>
        <v>11011.102576666668</v>
      </c>
      <c r="M19" s="1341">
        <f t="shared" si="3"/>
        <v>11001.259676666667</v>
      </c>
      <c r="N19" s="1342">
        <f t="shared" si="3"/>
        <v>11133.399441666666</v>
      </c>
      <c r="O19" s="1343">
        <f t="shared" si="3"/>
        <v>34398</v>
      </c>
      <c r="P19" s="1344">
        <f>SUM(P10:P18)</f>
        <v>133390.134735</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10912.38615</v>
      </c>
      <c r="G24" s="1569">
        <f>'B - Monthly Positions'!H20</f>
        <v>10924.419483333333</v>
      </c>
      <c r="H24" s="1569">
        <f>'B - Monthly Positions'!I20</f>
        <v>10964.259676666667</v>
      </c>
      <c r="I24" s="1569">
        <f>'B - Monthly Positions'!J20</f>
        <v>11015.102576666666</v>
      </c>
      <c r="J24" s="1569">
        <f>'B - Monthly Positions'!K20</f>
        <v>11015.102576666666</v>
      </c>
      <c r="K24" s="1569">
        <f>'B - Monthly Positions'!L20</f>
        <v>11015.102576666666</v>
      </c>
      <c r="L24" s="1569">
        <f>'B - Monthly Positions'!M20</f>
        <v>11011.102576666666</v>
      </c>
      <c r="M24" s="1569">
        <f>'B - Monthly Positions'!N20</f>
        <v>11001.259676666667</v>
      </c>
      <c r="N24" s="2478">
        <f>'B - Monthly Positions'!O20</f>
        <v>11133.399441666666</v>
      </c>
      <c r="O24" s="1131">
        <f>SUMPRODUCT($C$6:$N$6,C24:N24)</f>
        <v>34398</v>
      </c>
      <c r="P24" s="1322">
        <f>SUM(C24:N24)</f>
        <v>133390.134735</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10912.38615</v>
      </c>
      <c r="G26" s="1345">
        <f t="shared" si="4"/>
        <v>10924.419483333333</v>
      </c>
      <c r="H26" s="1345">
        <f t="shared" si="4"/>
        <v>10964.259676666667</v>
      </c>
      <c r="I26" s="1345">
        <f t="shared" si="4"/>
        <v>11015.102576666666</v>
      </c>
      <c r="J26" s="1345">
        <f t="shared" si="4"/>
        <v>11015.102576666666</v>
      </c>
      <c r="K26" s="1345">
        <f t="shared" si="4"/>
        <v>11015.102576666666</v>
      </c>
      <c r="L26" s="1345">
        <f t="shared" si="4"/>
        <v>11011.102576666666</v>
      </c>
      <c r="M26" s="1345">
        <f t="shared" si="4"/>
        <v>11001.259676666667</v>
      </c>
      <c r="N26" s="1344">
        <f t="shared" si="4"/>
        <v>11133.399441666666</v>
      </c>
      <c r="O26" s="1343">
        <f>SUM(O24:O25)</f>
        <v>34398</v>
      </c>
      <c r="P26" s="1344">
        <f>SUM(P24:P25)</f>
        <v>133390.134735</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AVERAGE(C33:E33)</f>
        <v>151.33333333333334</v>
      </c>
      <c r="G33" s="1326">
        <f t="shared" ref="G33:N33" si="6">F33</f>
        <v>151.33333333333334</v>
      </c>
      <c r="H33" s="1326">
        <f t="shared" si="6"/>
        <v>151.33333333333334</v>
      </c>
      <c r="I33" s="1326">
        <f t="shared" si="6"/>
        <v>151.33333333333334</v>
      </c>
      <c r="J33" s="1326">
        <f t="shared" si="6"/>
        <v>151.33333333333334</v>
      </c>
      <c r="K33" s="1326">
        <f t="shared" si="6"/>
        <v>151.33333333333334</v>
      </c>
      <c r="L33" s="1326">
        <f t="shared" si="6"/>
        <v>151.33333333333334</v>
      </c>
      <c r="M33" s="1326">
        <f t="shared" si="6"/>
        <v>151.33333333333334</v>
      </c>
      <c r="N33" s="1326">
        <f t="shared" si="6"/>
        <v>151.33333333333334</v>
      </c>
      <c r="O33" s="1131">
        <f t="shared" ref="O33:O41" si="7">SUMPRODUCT($C$6:$N$6,C33:N33)</f>
        <v>454</v>
      </c>
      <c r="P33" s="1322">
        <f t="shared" ref="P33:P41" si="8">SUM(C33:N33)</f>
        <v>1815.9999999999998</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AVERAGE(C34:E34)</f>
        <v>24.333333333333332</v>
      </c>
      <c r="G34" s="1326">
        <f t="shared" ref="D34:N41" si="9">F34</f>
        <v>24.333333333333332</v>
      </c>
      <c r="H34" s="1326">
        <f t="shared" si="9"/>
        <v>24.333333333333332</v>
      </c>
      <c r="I34" s="1326">
        <f t="shared" si="9"/>
        <v>24.333333333333332</v>
      </c>
      <c r="J34" s="1326">
        <f t="shared" si="9"/>
        <v>24.333333333333332</v>
      </c>
      <c r="K34" s="1326">
        <f t="shared" si="9"/>
        <v>24.333333333333332</v>
      </c>
      <c r="L34" s="1326">
        <f t="shared" si="9"/>
        <v>24.333333333333332</v>
      </c>
      <c r="M34" s="1326">
        <f t="shared" si="9"/>
        <v>24.333333333333332</v>
      </c>
      <c r="N34" s="1326">
        <f t="shared" si="9"/>
        <v>24.333333333333332</v>
      </c>
      <c r="O34" s="1323">
        <f t="shared" si="7"/>
        <v>73</v>
      </c>
      <c r="P34" s="1324">
        <f t="shared" si="8"/>
        <v>292</v>
      </c>
      <c r="Q34" s="608"/>
      <c r="R34" s="608"/>
      <c r="S34" s="608"/>
      <c r="T34" s="80"/>
      <c r="U34" s="80"/>
      <c r="V34" s="80"/>
      <c r="W34" s="80"/>
      <c r="X34" s="80"/>
      <c r="Y34" s="80"/>
      <c r="Z34" s="80"/>
      <c r="AA34" s="80"/>
      <c r="AB34" s="80"/>
      <c r="AC34" s="80"/>
      <c r="AD34" s="80"/>
      <c r="AE34" s="80"/>
      <c r="AF34" s="80"/>
      <c r="AG34" s="80"/>
      <c r="AH34" s="80"/>
      <c r="AI34" s="80"/>
      <c r="AJ34" s="80"/>
      <c r="AK34" s="80"/>
    </row>
    <row r="35" spans="1:37" ht="13.25" customHeight="1">
      <c r="A35" s="1328">
        <v>3</v>
      </c>
      <c r="B35" s="1332" t="s">
        <v>420</v>
      </c>
      <c r="C35" s="1330">
        <v>3</v>
      </c>
      <c r="D35" s="1326">
        <f>3-C35</f>
        <v>0</v>
      </c>
      <c r="E35" s="1326">
        <f>3-SUM(C35:D35)</f>
        <v>0</v>
      </c>
      <c r="F35" s="1326">
        <f t="shared" ref="F35:F41" si="10">AVERAGE(C35:E35)</f>
        <v>1</v>
      </c>
      <c r="G35" s="1326">
        <f t="shared" si="9"/>
        <v>1</v>
      </c>
      <c r="H35" s="1326">
        <f t="shared" si="9"/>
        <v>1</v>
      </c>
      <c r="I35" s="1326">
        <f t="shared" si="9"/>
        <v>1</v>
      </c>
      <c r="J35" s="1326">
        <f t="shared" si="9"/>
        <v>1</v>
      </c>
      <c r="K35" s="1326">
        <f t="shared" si="9"/>
        <v>1</v>
      </c>
      <c r="L35" s="1326">
        <f t="shared" si="9"/>
        <v>1</v>
      </c>
      <c r="M35" s="1326">
        <f t="shared" si="9"/>
        <v>1</v>
      </c>
      <c r="N35" s="1326">
        <f t="shared" si="9"/>
        <v>1</v>
      </c>
      <c r="O35" s="1323">
        <f t="shared" si="7"/>
        <v>3</v>
      </c>
      <c r="P35" s="1324">
        <f t="shared" si="8"/>
        <v>12</v>
      </c>
      <c r="Q35" s="608"/>
      <c r="R35" s="608"/>
      <c r="S35" s="608"/>
      <c r="T35" s="80"/>
      <c r="U35" s="80"/>
      <c r="V35" s="80"/>
      <c r="W35" s="80"/>
      <c r="X35" s="80"/>
      <c r="Y35" s="80"/>
      <c r="Z35" s="80"/>
      <c r="AA35" s="80"/>
      <c r="AB35" s="80"/>
      <c r="AC35" s="80"/>
      <c r="AD35" s="80"/>
      <c r="AE35" s="80"/>
      <c r="AF35" s="80"/>
      <c r="AG35" s="80"/>
      <c r="AH35" s="80"/>
      <c r="AI35" s="80"/>
      <c r="AJ35" s="80"/>
      <c r="AK35" s="80"/>
    </row>
    <row r="36" spans="1:37" ht="13.25" customHeight="1">
      <c r="A36" s="1328">
        <v>4</v>
      </c>
      <c r="B36" s="1332" t="s">
        <v>421</v>
      </c>
      <c r="C36" s="1330"/>
      <c r="D36" s="1326">
        <f t="shared" si="9"/>
        <v>0</v>
      </c>
      <c r="E36" s="1326">
        <f t="shared" si="9"/>
        <v>0</v>
      </c>
      <c r="F36" s="1326">
        <f t="shared" si="10"/>
        <v>0</v>
      </c>
      <c r="G36" s="1326">
        <f t="shared" si="9"/>
        <v>0</v>
      </c>
      <c r="H36" s="1326">
        <f t="shared" si="9"/>
        <v>0</v>
      </c>
      <c r="I36" s="1326">
        <f t="shared" si="9"/>
        <v>0</v>
      </c>
      <c r="J36" s="1326">
        <f t="shared" si="9"/>
        <v>0</v>
      </c>
      <c r="K36" s="1326">
        <f t="shared" si="9"/>
        <v>0</v>
      </c>
      <c r="L36" s="1326">
        <f t="shared" si="9"/>
        <v>0</v>
      </c>
      <c r="M36" s="1326">
        <f t="shared" si="9"/>
        <v>0</v>
      </c>
      <c r="N36" s="1326">
        <f t="shared" si="9"/>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25" customHeight="1">
      <c r="A37" s="1328">
        <v>5</v>
      </c>
      <c r="B37" s="1332" t="s">
        <v>422</v>
      </c>
      <c r="C37" s="1330">
        <v>17</v>
      </c>
      <c r="D37" s="1326">
        <f>39-C37</f>
        <v>22</v>
      </c>
      <c r="E37" s="1326">
        <f>69-SUM(C37:D37)</f>
        <v>30</v>
      </c>
      <c r="F37" s="1326">
        <f t="shared" si="10"/>
        <v>23</v>
      </c>
      <c r="G37" s="1326">
        <f t="shared" si="9"/>
        <v>23</v>
      </c>
      <c r="H37" s="1326">
        <f t="shared" si="9"/>
        <v>23</v>
      </c>
      <c r="I37" s="1326">
        <f t="shared" si="9"/>
        <v>23</v>
      </c>
      <c r="J37" s="1326">
        <f t="shared" si="9"/>
        <v>23</v>
      </c>
      <c r="K37" s="1326">
        <f t="shared" si="9"/>
        <v>23</v>
      </c>
      <c r="L37" s="1326">
        <f t="shared" si="9"/>
        <v>23</v>
      </c>
      <c r="M37" s="1326">
        <f t="shared" si="9"/>
        <v>23</v>
      </c>
      <c r="N37" s="1326">
        <f t="shared" si="9"/>
        <v>23</v>
      </c>
      <c r="O37" s="1323">
        <f t="shared" si="7"/>
        <v>69</v>
      </c>
      <c r="P37" s="1324">
        <f t="shared" si="8"/>
        <v>276</v>
      </c>
      <c r="Q37" s="608"/>
      <c r="R37" s="608"/>
      <c r="S37" s="608"/>
      <c r="T37" s="80"/>
      <c r="U37" s="80"/>
      <c r="V37" s="80"/>
      <c r="W37" s="80"/>
      <c r="X37" s="80"/>
      <c r="Y37" s="80"/>
      <c r="Z37" s="80"/>
      <c r="AA37" s="80"/>
      <c r="AB37" s="80"/>
      <c r="AC37" s="80"/>
      <c r="AD37" s="80"/>
      <c r="AE37" s="80"/>
      <c r="AF37" s="80"/>
      <c r="AG37" s="80"/>
      <c r="AH37" s="80"/>
      <c r="AI37" s="80"/>
      <c r="AJ37" s="80"/>
      <c r="AK37" s="80"/>
    </row>
    <row r="38" spans="1:37" ht="13.25" customHeight="1">
      <c r="A38" s="1328">
        <v>6</v>
      </c>
      <c r="B38" s="1332" t="s">
        <v>364</v>
      </c>
      <c r="C38" s="1330"/>
      <c r="D38" s="1326">
        <f t="shared" si="9"/>
        <v>0</v>
      </c>
      <c r="E38" s="1326">
        <f>-2-SUM(C38:D38)</f>
        <v>-2</v>
      </c>
      <c r="F38" s="1326">
        <v>0</v>
      </c>
      <c r="G38" s="1326">
        <f t="shared" si="9"/>
        <v>0</v>
      </c>
      <c r="H38" s="1326">
        <f t="shared" si="9"/>
        <v>0</v>
      </c>
      <c r="I38" s="1326">
        <f t="shared" si="9"/>
        <v>0</v>
      </c>
      <c r="J38" s="1326">
        <f t="shared" si="9"/>
        <v>0</v>
      </c>
      <c r="K38" s="1326">
        <f t="shared" si="9"/>
        <v>0</v>
      </c>
      <c r="L38" s="1326">
        <f t="shared" si="9"/>
        <v>0</v>
      </c>
      <c r="M38" s="1326">
        <f t="shared" si="9"/>
        <v>0</v>
      </c>
      <c r="N38" s="1326">
        <f t="shared" si="9"/>
        <v>0</v>
      </c>
      <c r="O38" s="1323">
        <f t="shared" si="7"/>
        <v>-2</v>
      </c>
      <c r="P38" s="1324">
        <f t="shared" si="8"/>
        <v>-2</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 t="shared" si="10"/>
        <v>82.666666666666671</v>
      </c>
      <c r="G39" s="1326">
        <f t="shared" si="9"/>
        <v>82.666666666666671</v>
      </c>
      <c r="H39" s="1326">
        <f t="shared" si="9"/>
        <v>82.666666666666671</v>
      </c>
      <c r="I39" s="1326">
        <f t="shared" si="9"/>
        <v>82.666666666666671</v>
      </c>
      <c r="J39" s="1326">
        <f t="shared" si="9"/>
        <v>82.666666666666671</v>
      </c>
      <c r="K39" s="1326">
        <f t="shared" si="9"/>
        <v>82.666666666666671</v>
      </c>
      <c r="L39" s="1326">
        <f t="shared" si="9"/>
        <v>82.666666666666671</v>
      </c>
      <c r="M39" s="1326">
        <f t="shared" si="9"/>
        <v>82.666666666666671</v>
      </c>
      <c r="N39" s="1326">
        <f t="shared" si="9"/>
        <v>82.666666666666671</v>
      </c>
      <c r="O39" s="1323">
        <f t="shared" si="7"/>
        <v>248</v>
      </c>
      <c r="P39" s="1324">
        <f t="shared" si="8"/>
        <v>991.99999999999989</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 t="shared" si="10"/>
        <v>1</v>
      </c>
      <c r="G40" s="1326">
        <f t="shared" si="9"/>
        <v>1</v>
      </c>
      <c r="H40" s="1326">
        <f t="shared" si="9"/>
        <v>1</v>
      </c>
      <c r="I40" s="1326">
        <f t="shared" si="9"/>
        <v>1</v>
      </c>
      <c r="J40" s="1326">
        <f t="shared" si="9"/>
        <v>1</v>
      </c>
      <c r="K40" s="1326">
        <f t="shared" si="9"/>
        <v>1</v>
      </c>
      <c r="L40" s="1326">
        <f t="shared" si="9"/>
        <v>1</v>
      </c>
      <c r="M40" s="1326">
        <f t="shared" si="9"/>
        <v>1</v>
      </c>
      <c r="N40" s="1326">
        <f t="shared" si="9"/>
        <v>1</v>
      </c>
      <c r="O40" s="1323">
        <f t="shared" si="7"/>
        <v>3</v>
      </c>
      <c r="P40" s="1324">
        <f t="shared" si="8"/>
        <v>12</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9"/>
        <v>0</v>
      </c>
      <c r="E41" s="1326">
        <f t="shared" si="9"/>
        <v>0</v>
      </c>
      <c r="F41" s="1326">
        <f t="shared" si="10"/>
        <v>0</v>
      </c>
      <c r="G41" s="1326">
        <f t="shared" si="9"/>
        <v>0</v>
      </c>
      <c r="H41" s="1326">
        <f t="shared" si="9"/>
        <v>0</v>
      </c>
      <c r="I41" s="1326">
        <f t="shared" si="9"/>
        <v>0</v>
      </c>
      <c r="J41" s="1326">
        <f t="shared" si="9"/>
        <v>0</v>
      </c>
      <c r="K41" s="1326">
        <f t="shared" si="9"/>
        <v>0</v>
      </c>
      <c r="L41" s="1326">
        <f t="shared" si="9"/>
        <v>0</v>
      </c>
      <c r="M41" s="1326">
        <f t="shared" si="9"/>
        <v>0</v>
      </c>
      <c r="N41" s="1326">
        <f t="shared" si="9"/>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1">SUM(D33:D41)</f>
        <v>308</v>
      </c>
      <c r="E42" s="1341">
        <f t="shared" si="11"/>
        <v>262</v>
      </c>
      <c r="F42" s="1341">
        <f t="shared" si="11"/>
        <v>283.33333333333337</v>
      </c>
      <c r="G42" s="1341">
        <f t="shared" si="11"/>
        <v>283.33333333333337</v>
      </c>
      <c r="H42" s="1341">
        <f t="shared" si="11"/>
        <v>283.33333333333337</v>
      </c>
      <c r="I42" s="1341">
        <f t="shared" si="11"/>
        <v>283.33333333333337</v>
      </c>
      <c r="J42" s="1341">
        <f t="shared" si="11"/>
        <v>283.33333333333337</v>
      </c>
      <c r="K42" s="1341">
        <f t="shared" si="11"/>
        <v>283.33333333333337</v>
      </c>
      <c r="L42" s="1341">
        <f t="shared" si="11"/>
        <v>283.33333333333337</v>
      </c>
      <c r="M42" s="1341">
        <f t="shared" si="11"/>
        <v>283.33333333333337</v>
      </c>
      <c r="N42" s="1342">
        <f t="shared" si="11"/>
        <v>283.33333333333337</v>
      </c>
      <c r="O42" s="1343">
        <f t="shared" si="11"/>
        <v>848</v>
      </c>
      <c r="P42" s="1344">
        <f t="shared" si="11"/>
        <v>3398</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2">C42/C19</f>
        <v>2.7386464387745051E-2</v>
      </c>
      <c r="D44" s="1353">
        <f t="shared" si="12"/>
        <v>2.9174955006157053E-2</v>
      </c>
      <c r="E44" s="1353">
        <f t="shared" si="12"/>
        <v>1.9138056975894813E-2</v>
      </c>
      <c r="F44" s="1353">
        <f t="shared" si="12"/>
        <v>2.5964379324437063E-2</v>
      </c>
      <c r="G44" s="1353">
        <f t="shared" si="12"/>
        <v>2.5935779357941752E-2</v>
      </c>
      <c r="H44" s="1353">
        <f t="shared" si="12"/>
        <v>2.5841538023429214E-2</v>
      </c>
      <c r="I44" s="1353">
        <f t="shared" si="12"/>
        <v>2.5722260084397163E-2</v>
      </c>
      <c r="J44" s="1353">
        <f t="shared" si="12"/>
        <v>2.5722260084397163E-2</v>
      </c>
      <c r="K44" s="1353">
        <f t="shared" si="12"/>
        <v>2.5722260084397163E-2</v>
      </c>
      <c r="L44" s="1353">
        <f t="shared" si="12"/>
        <v>2.5731604202265577E-2</v>
      </c>
      <c r="M44" s="1353">
        <f t="shared" si="12"/>
        <v>2.5754626439213561E-2</v>
      </c>
      <c r="N44" s="1353">
        <f t="shared" si="12"/>
        <v>2.5448950683738196E-2</v>
      </c>
      <c r="O44" s="1353">
        <f t="shared" si="12"/>
        <v>2.4652596081167509E-2</v>
      </c>
      <c r="P44" s="1354">
        <f t="shared" si="12"/>
        <v>2.5474147745263541E-2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f>AVERAGE(C52:E52)</f>
        <v>275.66666666666669</v>
      </c>
      <c r="G52" s="1326">
        <f t="shared" ref="G52:N52" si="13">F52</f>
        <v>275.66666666666669</v>
      </c>
      <c r="H52" s="1326">
        <f t="shared" si="13"/>
        <v>275.66666666666669</v>
      </c>
      <c r="I52" s="1326">
        <f t="shared" si="13"/>
        <v>275.66666666666669</v>
      </c>
      <c r="J52" s="1326">
        <f t="shared" si="13"/>
        <v>275.66666666666669</v>
      </c>
      <c r="K52" s="1326">
        <f t="shared" si="13"/>
        <v>275.66666666666669</v>
      </c>
      <c r="L52" s="1326">
        <f t="shared" si="13"/>
        <v>275.66666666666669</v>
      </c>
      <c r="M52" s="1326">
        <f t="shared" si="13"/>
        <v>275.66666666666669</v>
      </c>
      <c r="N52" s="1326">
        <f t="shared" si="13"/>
        <v>275.66666666666669</v>
      </c>
      <c r="O52" s="1131">
        <f>SUMPRODUCT($C$6:$N$6,C52:N52)</f>
        <v>827</v>
      </c>
      <c r="P52" s="1322">
        <f>SUM(C52:N52)</f>
        <v>3307.9999999999995</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f t="shared" ref="G53:N53" si="14">F53</f>
        <v>7</v>
      </c>
      <c r="H53" s="1325">
        <f t="shared" si="14"/>
        <v>7</v>
      </c>
      <c r="I53" s="1325">
        <f t="shared" si="14"/>
        <v>7</v>
      </c>
      <c r="J53" s="1325">
        <f t="shared" si="14"/>
        <v>7</v>
      </c>
      <c r="K53" s="1325">
        <f t="shared" si="14"/>
        <v>7</v>
      </c>
      <c r="L53" s="1325">
        <f t="shared" si="14"/>
        <v>7</v>
      </c>
      <c r="M53" s="1325">
        <f t="shared" si="14"/>
        <v>7</v>
      </c>
      <c r="N53" s="1325">
        <f t="shared" si="14"/>
        <v>7</v>
      </c>
      <c r="O53" s="1323">
        <f t="shared" ref="O53:O64" si="15">SUMPRODUCT($C$6:$N$6,C53:N53)</f>
        <v>21</v>
      </c>
      <c r="P53" s="1324">
        <f t="shared" ref="P53:P64" si="16">SUM(C53:N53)</f>
        <v>84</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7">A53+1</f>
        <v>3</v>
      </c>
      <c r="B54" s="1332" t="s">
        <v>588</v>
      </c>
      <c r="C54" s="1330"/>
      <c r="D54" s="1325"/>
      <c r="E54" s="1325"/>
      <c r="F54" s="1325"/>
      <c r="G54" s="1325"/>
      <c r="H54" s="1325"/>
      <c r="I54" s="1325"/>
      <c r="J54" s="1325"/>
      <c r="K54" s="1325"/>
      <c r="L54" s="1325"/>
      <c r="M54" s="1325"/>
      <c r="N54" s="1334"/>
      <c r="O54" s="1323">
        <f t="shared" si="15"/>
        <v>0</v>
      </c>
      <c r="P54" s="1324">
        <f t="shared" si="16"/>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7"/>
        <v>4</v>
      </c>
      <c r="B55" s="1332" t="s">
        <v>589</v>
      </c>
      <c r="C55" s="1330"/>
      <c r="D55" s="1325"/>
      <c r="E55" s="1325"/>
      <c r="F55" s="1325"/>
      <c r="G55" s="1325"/>
      <c r="H55" s="1325"/>
      <c r="I55" s="1325"/>
      <c r="J55" s="1325"/>
      <c r="K55" s="1325"/>
      <c r="L55" s="1325"/>
      <c r="M55" s="1325"/>
      <c r="N55" s="1334"/>
      <c r="O55" s="1323">
        <f t="shared" si="15"/>
        <v>0</v>
      </c>
      <c r="P55" s="1324">
        <f t="shared" si="16"/>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7"/>
        <v>5</v>
      </c>
      <c r="B56" s="1332" t="s">
        <v>590</v>
      </c>
      <c r="C56" s="1330"/>
      <c r="D56" s="1325"/>
      <c r="E56" s="1325"/>
      <c r="F56" s="1325"/>
      <c r="G56" s="1325"/>
      <c r="H56" s="1325"/>
      <c r="I56" s="1325"/>
      <c r="J56" s="1325"/>
      <c r="K56" s="1325"/>
      <c r="L56" s="1325"/>
      <c r="M56" s="1325"/>
      <c r="N56" s="1334"/>
      <c r="O56" s="1323">
        <f t="shared" si="15"/>
        <v>0</v>
      </c>
      <c r="P56" s="1324">
        <f t="shared" si="16"/>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7"/>
        <v>6</v>
      </c>
      <c r="B57" s="1332" t="s">
        <v>591</v>
      </c>
      <c r="C57" s="1330"/>
      <c r="D57" s="1325"/>
      <c r="E57" s="1325"/>
      <c r="F57" s="1325"/>
      <c r="G57" s="1325"/>
      <c r="H57" s="1325"/>
      <c r="I57" s="1325"/>
      <c r="J57" s="1325"/>
      <c r="K57" s="1325"/>
      <c r="L57" s="1325"/>
      <c r="M57" s="1325"/>
      <c r="N57" s="1334"/>
      <c r="O57" s="1323">
        <f t="shared" si="15"/>
        <v>0</v>
      </c>
      <c r="P57" s="1324">
        <f t="shared" si="16"/>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7"/>
        <v>7</v>
      </c>
      <c r="B58" s="1332" t="s">
        <v>592</v>
      </c>
      <c r="C58" s="1330"/>
      <c r="D58" s="1325"/>
      <c r="E58" s="1325"/>
      <c r="F58" s="1325"/>
      <c r="G58" s="1325"/>
      <c r="H58" s="1325"/>
      <c r="I58" s="1325"/>
      <c r="J58" s="1325"/>
      <c r="K58" s="1325"/>
      <c r="L58" s="1325"/>
      <c r="M58" s="1325"/>
      <c r="N58" s="1334"/>
      <c r="O58" s="1323">
        <f t="shared" si="15"/>
        <v>0</v>
      </c>
      <c r="P58" s="1324">
        <f t="shared" si="16"/>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7"/>
        <v>8</v>
      </c>
      <c r="B59" s="1332" t="s">
        <v>593</v>
      </c>
      <c r="C59" s="1330"/>
      <c r="D59" s="1325"/>
      <c r="E59" s="1325"/>
      <c r="F59" s="1325"/>
      <c r="G59" s="1325"/>
      <c r="H59" s="1325"/>
      <c r="I59" s="1325"/>
      <c r="J59" s="1325"/>
      <c r="K59" s="1325"/>
      <c r="L59" s="1325"/>
      <c r="M59" s="1325"/>
      <c r="N59" s="1334"/>
      <c r="O59" s="1323">
        <f t="shared" si="15"/>
        <v>0</v>
      </c>
      <c r="P59" s="1324">
        <f t="shared" si="16"/>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7"/>
        <v>9</v>
      </c>
      <c r="B60" s="1332" t="s">
        <v>594</v>
      </c>
      <c r="C60" s="1330"/>
      <c r="D60" s="1325"/>
      <c r="E60" s="1325"/>
      <c r="F60" s="1325"/>
      <c r="G60" s="1325"/>
      <c r="H60" s="1325"/>
      <c r="I60" s="1325"/>
      <c r="J60" s="1325"/>
      <c r="K60" s="1325"/>
      <c r="L60" s="1325"/>
      <c r="M60" s="1325"/>
      <c r="N60" s="1334"/>
      <c r="O60" s="1323">
        <f t="shared" si="15"/>
        <v>0</v>
      </c>
      <c r="P60" s="1324">
        <f t="shared" si="16"/>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7"/>
        <v>10</v>
      </c>
      <c r="B61" s="1332" t="s">
        <v>595</v>
      </c>
      <c r="C61" s="1330"/>
      <c r="D61" s="1325"/>
      <c r="E61" s="1325"/>
      <c r="F61" s="1325"/>
      <c r="G61" s="1325"/>
      <c r="H61" s="1325"/>
      <c r="I61" s="1325"/>
      <c r="J61" s="1325"/>
      <c r="K61" s="1325"/>
      <c r="L61" s="1325"/>
      <c r="M61" s="1325"/>
      <c r="N61" s="1334"/>
      <c r="O61" s="1323">
        <f t="shared" si="15"/>
        <v>0</v>
      </c>
      <c r="P61" s="1324">
        <f t="shared" si="16"/>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7"/>
        <v>11</v>
      </c>
      <c r="B62" s="1332" t="s">
        <v>596</v>
      </c>
      <c r="C62" s="1330"/>
      <c r="D62" s="1325"/>
      <c r="E62" s="1325"/>
      <c r="F62" s="1325"/>
      <c r="G62" s="1325"/>
      <c r="H62" s="1325"/>
      <c r="I62" s="1325"/>
      <c r="J62" s="1325"/>
      <c r="K62" s="1325"/>
      <c r="L62" s="1325"/>
      <c r="M62" s="1325"/>
      <c r="N62" s="1334"/>
      <c r="O62" s="1323">
        <f t="shared" si="15"/>
        <v>0</v>
      </c>
      <c r="P62" s="1324">
        <f t="shared" si="16"/>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7"/>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5"/>
        <v>0</v>
      </c>
      <c r="P64" s="1339">
        <f t="shared" si="16"/>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8">SUM(C52:C64)</f>
        <v>278</v>
      </c>
      <c r="D65" s="1341">
        <f t="shared" si="18"/>
        <v>308</v>
      </c>
      <c r="E65" s="1341">
        <f t="shared" si="18"/>
        <v>262</v>
      </c>
      <c r="F65" s="1341">
        <f t="shared" si="18"/>
        <v>282.66666666666669</v>
      </c>
      <c r="G65" s="1341">
        <f t="shared" si="18"/>
        <v>282.66666666666669</v>
      </c>
      <c r="H65" s="1341">
        <f t="shared" si="18"/>
        <v>282.66666666666669</v>
      </c>
      <c r="I65" s="1341">
        <f t="shared" si="18"/>
        <v>282.66666666666669</v>
      </c>
      <c r="J65" s="1341">
        <f t="shared" si="18"/>
        <v>282.66666666666669</v>
      </c>
      <c r="K65" s="1341">
        <f t="shared" si="18"/>
        <v>282.66666666666669</v>
      </c>
      <c r="L65" s="1341">
        <f t="shared" si="18"/>
        <v>282.66666666666669</v>
      </c>
      <c r="M65" s="1341">
        <f t="shared" si="18"/>
        <v>282.66666666666669</v>
      </c>
      <c r="N65" s="1342">
        <f t="shared" si="18"/>
        <v>282.66666666666669</v>
      </c>
      <c r="O65" s="1343">
        <f t="shared" si="18"/>
        <v>848</v>
      </c>
      <c r="P65" s="1344">
        <f t="shared" si="18"/>
        <v>3391.9999999999995</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19">IF(ABS(C65-C42)&gt;1,1,0)</f>
        <v>0</v>
      </c>
      <c r="D66" s="1365">
        <f t="shared" si="19"/>
        <v>0</v>
      </c>
      <c r="E66" s="1365">
        <f t="shared" si="19"/>
        <v>0</v>
      </c>
      <c r="F66" s="1365">
        <f t="shared" si="19"/>
        <v>0</v>
      </c>
      <c r="G66" s="1365">
        <f t="shared" si="19"/>
        <v>0</v>
      </c>
      <c r="H66" s="1365">
        <f t="shared" si="19"/>
        <v>0</v>
      </c>
      <c r="I66" s="1365">
        <f t="shared" si="19"/>
        <v>0</v>
      </c>
      <c r="J66" s="1365">
        <f t="shared" si="19"/>
        <v>0</v>
      </c>
      <c r="K66" s="1365">
        <f t="shared" si="19"/>
        <v>0</v>
      </c>
      <c r="L66" s="1365">
        <f t="shared" si="19"/>
        <v>0</v>
      </c>
      <c r="M66" s="1365">
        <f t="shared" si="19"/>
        <v>0</v>
      </c>
      <c r="N66" s="1365">
        <f t="shared" si="19"/>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zoomScaleNormal="100" workbookViewId="0">
      <selection activeCell="C42" sqref="C42:N42"/>
    </sheetView>
  </sheetViews>
  <sheetFormatPr defaultColWidth="8.84375" defaultRowHeight="12.5"/>
  <cols>
    <col min="1" max="1" width="5.84375" style="9" customWidth="1"/>
    <col min="2" max="2" width="116.07421875" style="9" bestFit="1" customWidth="1"/>
    <col min="3" max="15" width="10.4609375" style="9" customWidth="1"/>
    <col min="16" max="17" width="8.84375" style="757"/>
    <col min="18" max="18" width="62.84375" style="757" customWidth="1"/>
    <col min="19" max="19" width="8.84375" style="757" customWidth="1"/>
    <col min="20" max="31" width="8.84375" style="9"/>
    <col min="32" max="32" width="11.07421875" style="9" customWidth="1"/>
    <col min="33" max="16384" width="8.843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Jun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3</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0</v>
      </c>
      <c r="G4" s="107">
        <f t="shared" si="0"/>
        <v>0</v>
      </c>
      <c r="H4" s="107">
        <f t="shared" si="0"/>
        <v>0</v>
      </c>
      <c r="I4" s="107">
        <f t="shared" si="0"/>
        <v>0</v>
      </c>
      <c r="J4" s="107">
        <f t="shared" si="0"/>
        <v>0</v>
      </c>
      <c r="K4" s="107">
        <f t="shared" si="0"/>
        <v>0</v>
      </c>
      <c r="L4" s="107">
        <f t="shared" si="0"/>
        <v>0</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28.241</v>
      </c>
      <c r="G10" s="1903">
        <v>69.998833333333323</v>
      </c>
      <c r="H10" s="1903">
        <v>86.553151666666679</v>
      </c>
      <c r="I10" s="1903">
        <v>89.396051666666665</v>
      </c>
      <c r="J10" s="1903">
        <v>89.396051666666665</v>
      </c>
      <c r="K10" s="1903">
        <v>89.396051666666665</v>
      </c>
      <c r="L10" s="1903">
        <v>89.396051666666665</v>
      </c>
      <c r="M10" s="1903">
        <v>86.553151666666679</v>
      </c>
      <c r="N10" s="1904">
        <v>84.692916666666676</v>
      </c>
      <c r="O10" s="1862">
        <f t="shared" ref="O10:O18" si="2">SUMPRODUCT($C$4:$N$4,C10:N10)</f>
        <v>58.929069999999996</v>
      </c>
      <c r="P10" s="1863">
        <f t="shared" ref="P10:P18" si="3">SUM(C10:N10)</f>
        <v>772.55232999999998</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3.0114999999999998</v>
      </c>
      <c r="G14" s="1326">
        <v>2.62175</v>
      </c>
      <c r="H14" s="1326">
        <v>2.62175</v>
      </c>
      <c r="I14" s="1326">
        <v>2.62175</v>
      </c>
      <c r="J14" s="1326">
        <v>2.62175</v>
      </c>
      <c r="K14" s="1326">
        <v>2.62175</v>
      </c>
      <c r="L14" s="1326">
        <v>2.62175</v>
      </c>
      <c r="M14" s="1326">
        <v>2.62175</v>
      </c>
      <c r="N14" s="1333">
        <v>2.62175</v>
      </c>
      <c r="O14" s="1862">
        <f t="shared" si="2"/>
        <v>9.0067800000000009</v>
      </c>
      <c r="P14" s="1863">
        <f t="shared" si="3"/>
        <v>32.992279999999994</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51.173233333333322</v>
      </c>
      <c r="G16" s="1326">
        <v>47.166899999999998</v>
      </c>
      <c r="H16" s="1326">
        <v>61.45277500000001</v>
      </c>
      <c r="I16" s="1326">
        <v>61.45277500000001</v>
      </c>
      <c r="J16" s="1326">
        <v>61.45277500000001</v>
      </c>
      <c r="K16" s="1326">
        <v>61.45277500000001</v>
      </c>
      <c r="L16" s="1326">
        <v>61.45277500000001</v>
      </c>
      <c r="M16" s="1326">
        <v>61.45277500000001</v>
      </c>
      <c r="N16" s="1333">
        <v>61.45277500000001</v>
      </c>
      <c r="O16" s="1862">
        <f t="shared" si="2"/>
        <v>87.140240000000006</v>
      </c>
      <c r="P16" s="1863">
        <f t="shared" si="3"/>
        <v>615.64979833333337</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82.425733333333312</v>
      </c>
      <c r="G19" s="1907">
        <f t="shared" si="4"/>
        <v>119.78748333333333</v>
      </c>
      <c r="H19" s="1907">
        <f t="shared" si="4"/>
        <v>150.6276766666667</v>
      </c>
      <c r="I19" s="1907">
        <f t="shared" si="4"/>
        <v>153.47057666666669</v>
      </c>
      <c r="J19" s="1907">
        <f t="shared" si="4"/>
        <v>153.47057666666669</v>
      </c>
      <c r="K19" s="1907">
        <f t="shared" si="4"/>
        <v>153.47057666666669</v>
      </c>
      <c r="L19" s="1907">
        <f t="shared" si="4"/>
        <v>153.47057666666669</v>
      </c>
      <c r="M19" s="1907">
        <f t="shared" si="4"/>
        <v>150.6276766666667</v>
      </c>
      <c r="N19" s="1907">
        <f t="shared" si="4"/>
        <v>148.76744166666668</v>
      </c>
      <c r="O19" s="1907">
        <f>SUM(O10:O18)</f>
        <v>155.07609000000002</v>
      </c>
      <c r="P19" s="1908">
        <f t="shared" si="4"/>
        <v>1421.1944083333333</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952.85368042841526</v>
      </c>
      <c r="G23" s="2899">
        <f t="shared" si="9"/>
        <v>879.10368042841526</v>
      </c>
      <c r="H23" s="2899">
        <f t="shared" si="9"/>
        <v>942.2010017049181</v>
      </c>
      <c r="I23" s="2899">
        <f t="shared" si="9"/>
        <v>1112.1030789530055</v>
      </c>
      <c r="J23" s="2899">
        <f t="shared" si="9"/>
        <v>1123.345613180328</v>
      </c>
      <c r="K23" s="2899">
        <f t="shared" si="9"/>
        <v>1258.7280789530055</v>
      </c>
      <c r="L23" s="2899">
        <f t="shared" si="9"/>
        <v>1156.1030789530055</v>
      </c>
      <c r="M23" s="2899">
        <f t="shared" si="9"/>
        <v>1067.0891474076502</v>
      </c>
      <c r="N23" s="2899">
        <f t="shared" si="9"/>
        <v>1194.2280789530055</v>
      </c>
      <c r="O23" s="1862">
        <f t="shared" si="5"/>
        <v>2441.0709999999999</v>
      </c>
      <c r="P23" s="1863">
        <f t="shared" si="6"/>
        <v>12126.826438961749</v>
      </c>
      <c r="Q23" s="608"/>
      <c r="R23" s="3005" t="s">
        <v>1413</v>
      </c>
      <c r="S23" s="1329">
        <v>41.723300000000002</v>
      </c>
      <c r="T23" s="1326">
        <v>41.723309999999998</v>
      </c>
      <c r="U23" s="1326">
        <v>47.436300000000003</v>
      </c>
      <c r="V23" s="1326">
        <v>43.62764</v>
      </c>
      <c r="W23" s="1326">
        <v>43.62764</v>
      </c>
      <c r="X23" s="1326">
        <v>43.62764</v>
      </c>
      <c r="Y23" s="1326">
        <v>43.62764</v>
      </c>
      <c r="Z23" s="1326">
        <v>43.62764</v>
      </c>
      <c r="AA23" s="1326">
        <v>43.62764</v>
      </c>
      <c r="AB23" s="1326">
        <v>43.62764</v>
      </c>
      <c r="AC23" s="1326">
        <v>43.62764</v>
      </c>
      <c r="AD23" s="1333">
        <v>43.62764</v>
      </c>
      <c r="AE23" s="1862">
        <f t="shared" si="7"/>
        <v>130.88290999999998</v>
      </c>
      <c r="AF23" s="1863">
        <f t="shared" si="8"/>
        <v>523.53166999999985</v>
      </c>
      <c r="AG23" s="80"/>
      <c r="AH23" s="80"/>
      <c r="AI23" s="80"/>
      <c r="AJ23" s="80"/>
    </row>
    <row r="24" spans="1:36" ht="13">
      <c r="A24" s="1896">
        <f t="shared" si="1"/>
        <v>17</v>
      </c>
      <c r="B24" s="1905" t="s">
        <v>464</v>
      </c>
      <c r="C24" s="1330">
        <v>18.600000000000001</v>
      </c>
      <c r="D24" s="1325">
        <v>18.600000000000001</v>
      </c>
      <c r="E24" s="1325">
        <v>0</v>
      </c>
      <c r="F24" s="1325">
        <v>0</v>
      </c>
      <c r="G24" s="1325">
        <v>0</v>
      </c>
      <c r="H24" s="1325">
        <v>107.8</v>
      </c>
      <c r="I24" s="1325">
        <v>0</v>
      </c>
      <c r="J24" s="1325">
        <v>0</v>
      </c>
      <c r="K24" s="1325">
        <v>107.8</v>
      </c>
      <c r="L24" s="1325">
        <v>0</v>
      </c>
      <c r="M24" s="1325">
        <v>0</v>
      </c>
      <c r="N24" s="1334">
        <v>107.8</v>
      </c>
      <c r="O24" s="1323">
        <f t="shared" si="5"/>
        <v>37.200000000000003</v>
      </c>
      <c r="P24" s="1324">
        <f t="shared" si="6"/>
        <v>360.6</v>
      </c>
      <c r="Q24" s="608"/>
      <c r="R24" s="2716" t="s">
        <v>1440</v>
      </c>
      <c r="S24" s="1329">
        <v>703.2559</v>
      </c>
      <c r="T24" s="1326">
        <v>611.93997999999999</v>
      </c>
      <c r="U24" s="1326">
        <v>706.86973999999998</v>
      </c>
      <c r="V24" s="1326">
        <v>569.81143162841522</v>
      </c>
      <c r="W24" s="1326">
        <v>569.81143162841522</v>
      </c>
      <c r="X24" s="1326">
        <v>551.43041770491811</v>
      </c>
      <c r="Y24" s="1326">
        <v>782.2788301530054</v>
      </c>
      <c r="Z24" s="1326">
        <v>757.04402918032781</v>
      </c>
      <c r="AA24" s="1326">
        <v>782.2788301530054</v>
      </c>
      <c r="AB24" s="1326">
        <v>782.2788301530054</v>
      </c>
      <c r="AC24" s="1326">
        <v>731.80922820765022</v>
      </c>
      <c r="AD24" s="1333">
        <v>782.2788301530054</v>
      </c>
      <c r="AE24" s="1862">
        <f t="shared" si="7"/>
        <v>2022.0656199999999</v>
      </c>
      <c r="AF24" s="1863">
        <f t="shared" si="8"/>
        <v>8331.0874789617483</v>
      </c>
      <c r="AG24" s="80"/>
      <c r="AH24" s="80"/>
      <c r="AI24" s="80"/>
      <c r="AJ24" s="80"/>
    </row>
    <row r="25" spans="1:36" ht="13">
      <c r="A25" s="1896">
        <f t="shared" si="1"/>
        <v>18</v>
      </c>
      <c r="B25" s="1905" t="s">
        <v>465</v>
      </c>
      <c r="C25" s="1330"/>
      <c r="D25" s="1325"/>
      <c r="E25" s="1325"/>
      <c r="F25" s="1325"/>
      <c r="G25" s="1325"/>
      <c r="H25" s="1325">
        <v>50</v>
      </c>
      <c r="I25" s="1325"/>
      <c r="J25" s="1325"/>
      <c r="K25" s="1325"/>
      <c r="L25" s="1325"/>
      <c r="M25" s="1325"/>
      <c r="N25" s="1334">
        <v>50</v>
      </c>
      <c r="O25" s="1323">
        <f t="shared" si="5"/>
        <v>0</v>
      </c>
      <c r="P25" s="1324">
        <f t="shared" si="6"/>
        <v>100</v>
      </c>
      <c r="Q25" s="608"/>
      <c r="R25" s="2716" t="s">
        <v>1441</v>
      </c>
      <c r="S25" s="1330">
        <v>5.5058199999999999</v>
      </c>
      <c r="T25" s="1325">
        <v>26.419170000000001</v>
      </c>
      <c r="U25" s="1325">
        <v>9.1497100000000007</v>
      </c>
      <c r="V25" s="1325">
        <v>12</v>
      </c>
      <c r="W25" s="1325">
        <v>12</v>
      </c>
      <c r="X25" s="1325">
        <v>12</v>
      </c>
      <c r="Y25" s="1325">
        <v>12</v>
      </c>
      <c r="Z25" s="1325">
        <v>15</v>
      </c>
      <c r="AA25" s="1325">
        <v>15</v>
      </c>
      <c r="AB25" s="1325">
        <v>15</v>
      </c>
      <c r="AC25" s="1325">
        <v>12</v>
      </c>
      <c r="AD25" s="1334">
        <v>12</v>
      </c>
      <c r="AE25" s="1323">
        <f t="shared" si="7"/>
        <v>41.0747</v>
      </c>
      <c r="AF25" s="1324">
        <f t="shared" si="8"/>
        <v>158.07470000000001</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8.5999999999999993E-2</v>
      </c>
      <c r="W26" s="1325">
        <v>8.5999999999999993E-2</v>
      </c>
      <c r="X26" s="1325">
        <v>8.3000000000000004E-2</v>
      </c>
      <c r="Y26" s="1325">
        <v>0.11799999999999999</v>
      </c>
      <c r="Z26" s="1325">
        <v>0.114</v>
      </c>
      <c r="AA26" s="1325">
        <v>0.11799999999999999</v>
      </c>
      <c r="AB26" s="1325">
        <v>0.11799999999999999</v>
      </c>
      <c r="AC26" s="1325">
        <v>0.111</v>
      </c>
      <c r="AD26" s="1334">
        <v>0.11799999999999999</v>
      </c>
      <c r="AE26" s="1323">
        <f t="shared" si="7"/>
        <v>6.1724699999999997</v>
      </c>
      <c r="AF26" s="1324">
        <f t="shared" si="8"/>
        <v>7.1244700000000014</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233.07860880000001</v>
      </c>
      <c r="W27" s="1325">
        <v>233.07860880000001</v>
      </c>
      <c r="X27" s="1325">
        <v>225.55994400000003</v>
      </c>
      <c r="Y27" s="1325">
        <v>233.07860880000001</v>
      </c>
      <c r="Z27" s="1325">
        <v>225.55994400000003</v>
      </c>
      <c r="AA27" s="1325">
        <v>233.07860880000001</v>
      </c>
      <c r="AB27" s="1325">
        <v>233.07860880000001</v>
      </c>
      <c r="AC27" s="1325">
        <v>218.04127919999996</v>
      </c>
      <c r="AD27" s="1334">
        <v>233.07860880000001</v>
      </c>
      <c r="AE27" s="1323">
        <f t="shared" si="7"/>
        <v>148.91818000000001</v>
      </c>
      <c r="AF27" s="1324">
        <f t="shared" si="8"/>
        <v>2216.5509999999999</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20.5</v>
      </c>
      <c r="W28" s="1325">
        <v>20.5</v>
      </c>
      <c r="X28" s="1325">
        <v>30.75</v>
      </c>
      <c r="Y28" s="1325">
        <v>41</v>
      </c>
      <c r="Z28" s="1325">
        <v>82</v>
      </c>
      <c r="AA28" s="1325">
        <v>102.5</v>
      </c>
      <c r="AB28" s="1325">
        <v>82</v>
      </c>
      <c r="AC28" s="1325">
        <v>61.5</v>
      </c>
      <c r="AD28" s="1334">
        <v>41</v>
      </c>
      <c r="AE28" s="1323">
        <f t="shared" si="7"/>
        <v>91.615830000000003</v>
      </c>
      <c r="AF28" s="1324">
        <f t="shared" si="8"/>
        <v>573.36582999999996</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73.75</v>
      </c>
      <c r="W29" s="2494">
        <v>0</v>
      </c>
      <c r="X29" s="2494">
        <v>78.75</v>
      </c>
      <c r="Y29" s="2494">
        <v>0</v>
      </c>
      <c r="Z29" s="2494">
        <v>0</v>
      </c>
      <c r="AA29" s="2494">
        <v>82.125</v>
      </c>
      <c r="AB29" s="2494">
        <v>0</v>
      </c>
      <c r="AC29" s="2494">
        <v>0</v>
      </c>
      <c r="AD29" s="2495">
        <v>82.125</v>
      </c>
      <c r="AE29" s="2372">
        <f t="shared" si="7"/>
        <v>0.34129000000000076</v>
      </c>
      <c r="AF29" s="2496">
        <f t="shared" si="8"/>
        <v>317.09129000000001</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c r="S30" s="2493"/>
      <c r="T30" s="2494"/>
      <c r="U30" s="2494"/>
      <c r="V30" s="2494"/>
      <c r="W30" s="2494"/>
      <c r="X30" s="2494"/>
      <c r="Y30" s="2494"/>
      <c r="Z30" s="2494"/>
      <c r="AA30" s="2494"/>
      <c r="AB30" s="2494"/>
      <c r="AC30" s="2494"/>
      <c r="AD30" s="2495"/>
      <c r="AE30" s="2372">
        <f t="shared" si="7"/>
        <v>0</v>
      </c>
      <c r="AF30" s="2496">
        <f t="shared" si="8"/>
        <v>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c r="S31" s="2493"/>
      <c r="T31" s="2494"/>
      <c r="U31" s="2494"/>
      <c r="V31" s="2494"/>
      <c r="W31" s="2494"/>
      <c r="X31" s="2494"/>
      <c r="Y31" s="2494"/>
      <c r="Z31" s="2494"/>
      <c r="AA31" s="2494"/>
      <c r="AB31" s="2494"/>
      <c r="AC31" s="2494"/>
      <c r="AD31" s="2495"/>
      <c r="AE31" s="2372">
        <f t="shared" si="7"/>
        <v>0</v>
      </c>
      <c r="AF31" s="2496">
        <f t="shared" si="8"/>
        <v>0</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c r="S32" s="2493"/>
      <c r="T32" s="2494"/>
      <c r="U32" s="2494"/>
      <c r="V32" s="2494"/>
      <c r="W32" s="2494"/>
      <c r="X32" s="2494"/>
      <c r="Y32" s="2494"/>
      <c r="Z32" s="2494"/>
      <c r="AA32" s="2494"/>
      <c r="AB32" s="2494"/>
      <c r="AC32" s="2494"/>
      <c r="AD32" s="2495"/>
      <c r="AE32" s="2372">
        <f t="shared" si="7"/>
        <v>0</v>
      </c>
      <c r="AF32" s="2496">
        <f t="shared" si="8"/>
        <v>0</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952.85368042841526</v>
      </c>
      <c r="G33" s="1907">
        <f t="shared" si="10"/>
        <v>879.10368042841526</v>
      </c>
      <c r="H33" s="1907">
        <f t="shared" si="10"/>
        <v>1100.0010017049181</v>
      </c>
      <c r="I33" s="1907">
        <f t="shared" si="10"/>
        <v>1112.1030789530055</v>
      </c>
      <c r="J33" s="1907">
        <f t="shared" si="10"/>
        <v>1123.345613180328</v>
      </c>
      <c r="K33" s="1907">
        <f t="shared" si="10"/>
        <v>1366.5280789530054</v>
      </c>
      <c r="L33" s="1907">
        <f t="shared" si="10"/>
        <v>1156.1030789530055</v>
      </c>
      <c r="M33" s="1907">
        <f t="shared" si="10"/>
        <v>1067.0891474076502</v>
      </c>
      <c r="N33" s="1907">
        <f t="shared" si="10"/>
        <v>1352.0280789530054</v>
      </c>
      <c r="O33" s="1907">
        <f>SUM(O20:O32)</f>
        <v>2478.2709999999997</v>
      </c>
      <c r="P33" s="1907">
        <f>SUM(P20:P32)</f>
        <v>12587.426438961749</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1035.2794137617486</v>
      </c>
      <c r="G34" s="1340">
        <f t="shared" si="11"/>
        <v>998.89116376174854</v>
      </c>
      <c r="H34" s="1340">
        <f t="shared" si="11"/>
        <v>1250.6286783715848</v>
      </c>
      <c r="I34" s="1340">
        <f t="shared" si="11"/>
        <v>1265.5736556196721</v>
      </c>
      <c r="J34" s="1340">
        <f t="shared" si="11"/>
        <v>1276.8161898469946</v>
      </c>
      <c r="K34" s="1340">
        <f t="shared" si="11"/>
        <v>1519.998655619672</v>
      </c>
      <c r="L34" s="1340">
        <f t="shared" si="11"/>
        <v>1309.5736556196721</v>
      </c>
      <c r="M34" s="1340">
        <f t="shared" si="11"/>
        <v>1217.7168240743169</v>
      </c>
      <c r="N34" s="1912">
        <f t="shared" si="11"/>
        <v>1500.7955206196721</v>
      </c>
      <c r="O34" s="1340">
        <f t="shared" si="11"/>
        <v>2633.3470899999998</v>
      </c>
      <c r="P34" s="1866">
        <f t="shared" si="11"/>
        <v>14008.620847295082</v>
      </c>
      <c r="Q34" s="608"/>
      <c r="R34" s="2717" t="s">
        <v>79</v>
      </c>
      <c r="S34" s="1907">
        <f>SUM(S21:S33)</f>
        <v>859.04843000000005</v>
      </c>
      <c r="T34" s="1907">
        <f t="shared" ref="T34:AD34" si="12">SUM(T21:T33)</f>
        <v>756.42802999999992</v>
      </c>
      <c r="U34" s="1907">
        <f t="shared" si="12"/>
        <v>825.59453999999994</v>
      </c>
      <c r="V34" s="1907">
        <f t="shared" si="12"/>
        <v>952.85368042841526</v>
      </c>
      <c r="W34" s="1907">
        <f t="shared" si="12"/>
        <v>879.10368042841526</v>
      </c>
      <c r="X34" s="1907">
        <f t="shared" si="12"/>
        <v>942.2010017049181</v>
      </c>
      <c r="Y34" s="1907">
        <f t="shared" si="12"/>
        <v>1112.1030789530055</v>
      </c>
      <c r="Z34" s="1907">
        <f t="shared" si="12"/>
        <v>1123.345613180328</v>
      </c>
      <c r="AA34" s="1907">
        <f t="shared" si="12"/>
        <v>1258.7280789530055</v>
      </c>
      <c r="AB34" s="1907">
        <f t="shared" si="12"/>
        <v>1156.1030789530055</v>
      </c>
      <c r="AC34" s="1907">
        <f t="shared" si="12"/>
        <v>1067.0891474076502</v>
      </c>
      <c r="AD34" s="1907">
        <f t="shared" si="12"/>
        <v>1194.2280789530055</v>
      </c>
      <c r="AE34" s="1907">
        <f>SUM(AE21:AE33)</f>
        <v>2441.0709999999999</v>
      </c>
      <c r="AF34" s="1907">
        <f>SUM(AF21:AF33)</f>
        <v>12126.826438961749</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3336.6143124800105</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-10.062364359338972</v>
      </c>
      <c r="G37" s="1907">
        <f t="shared" si="13"/>
        <v>16.825885640661113</v>
      </c>
      <c r="H37" s="1907">
        <f t="shared" si="13"/>
        <v>221.63148803934928</v>
      </c>
      <c r="I37" s="1907">
        <f t="shared" si="13"/>
        <v>6.1471065176604043</v>
      </c>
      <c r="J37" s="1907">
        <f t="shared" si="13"/>
        <v>0.12500114612271318</v>
      </c>
      <c r="K37" s="1907">
        <f t="shared" si="13"/>
        <v>281.27949818432694</v>
      </c>
      <c r="L37" s="1907">
        <f t="shared" si="13"/>
        <v>0.14710651766040428</v>
      </c>
      <c r="M37" s="1907">
        <f t="shared" si="13"/>
        <v>-11.872159225414634</v>
      </c>
      <c r="N37" s="1907">
        <f t="shared" si="13"/>
        <v>223.89036540654911</v>
      </c>
      <c r="O37" s="1907">
        <f t="shared" si="13"/>
        <v>703.26722248001079</v>
      </c>
      <c r="P37" s="1908">
        <f t="shared" si="13"/>
        <v>1431.3791503475877</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3336.6140824800104</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1035.2794137617486</v>
      </c>
      <c r="G42" s="1325">
        <v>998.89116376174854</v>
      </c>
      <c r="H42" s="1325">
        <v>1250.6286783715848</v>
      </c>
      <c r="I42" s="1325">
        <v>1265.5736556196721</v>
      </c>
      <c r="J42" s="1325">
        <v>1276.8161898469946</v>
      </c>
      <c r="K42" s="1325">
        <v>1519.998655619672</v>
      </c>
      <c r="L42" s="1325">
        <v>1309.5736556196721</v>
      </c>
      <c r="M42" s="1325">
        <v>1217.7168240743169</v>
      </c>
      <c r="N42" s="2727">
        <v>1500.7955206196721</v>
      </c>
      <c r="O42" s="1323">
        <f t="shared" ref="O42:O44" si="14">SUMPRODUCT($C$4:$N$4,C42:N42)</f>
        <v>2633.3470900000002</v>
      </c>
      <c r="P42" s="1324">
        <f t="shared" ref="P42:P44" si="15">SUM(C42:N42)</f>
        <v>14008.620847295082</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c r="D43" s="1325"/>
      <c r="E43" s="1325"/>
      <c r="F43" s="1325"/>
      <c r="G43" s="1325"/>
      <c r="H43" s="1325"/>
      <c r="I43" s="1325"/>
      <c r="J43" s="1325"/>
      <c r="K43" s="1325"/>
      <c r="L43" s="1325"/>
      <c r="M43" s="1325"/>
      <c r="N43" s="2727"/>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1035.2794137617486</v>
      </c>
      <c r="G44" s="2730">
        <f t="shared" si="16"/>
        <v>998.89116376174854</v>
      </c>
      <c r="H44" s="2730">
        <f t="shared" si="16"/>
        <v>1250.6286783715848</v>
      </c>
      <c r="I44" s="2730">
        <f t="shared" si="16"/>
        <v>1265.5736556196721</v>
      </c>
      <c r="J44" s="2730">
        <f t="shared" si="16"/>
        <v>1276.8161898469946</v>
      </c>
      <c r="K44" s="2730">
        <f t="shared" si="16"/>
        <v>1519.998655619672</v>
      </c>
      <c r="L44" s="2730">
        <f t="shared" si="16"/>
        <v>1309.5736556196721</v>
      </c>
      <c r="M44" s="2730">
        <f t="shared" si="16"/>
        <v>1217.7168240743169</v>
      </c>
      <c r="N44" s="2731">
        <f t="shared" si="16"/>
        <v>1500.7955206196721</v>
      </c>
      <c r="O44" s="2732">
        <f t="shared" si="14"/>
        <v>2633.3470900000002</v>
      </c>
      <c r="P44" s="2733">
        <f t="shared" si="15"/>
        <v>14008.620847295082</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10.062364359338972</v>
      </c>
      <c r="G45" s="2734">
        <f t="shared" si="17"/>
        <v>-16.825885640661113</v>
      </c>
      <c r="H45" s="2734">
        <f t="shared" si="17"/>
        <v>-221.63148803934928</v>
      </c>
      <c r="I45" s="2734">
        <f t="shared" si="17"/>
        <v>-6.1471065176604043</v>
      </c>
      <c r="J45" s="2734">
        <f t="shared" si="17"/>
        <v>-0.12500114612271318</v>
      </c>
      <c r="K45" s="2734">
        <f t="shared" si="17"/>
        <v>-281.27949818432694</v>
      </c>
      <c r="L45" s="2734">
        <f t="shared" si="17"/>
        <v>-0.14710651766040428</v>
      </c>
      <c r="M45" s="2734">
        <f t="shared" si="17"/>
        <v>11.872159225414634</v>
      </c>
      <c r="N45" s="2735">
        <f t="shared" si="17"/>
        <v>-223.89036540654911</v>
      </c>
      <c r="O45" s="2760">
        <f t="shared" si="17"/>
        <v>-703.26699248001023</v>
      </c>
      <c r="P45" s="2760">
        <f t="shared" si="17"/>
        <v>-1431.3789203475862</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68.538249999999977</v>
      </c>
      <c r="G53" s="1903">
        <v>61.801583333333326</v>
      </c>
      <c r="H53" s="1903">
        <v>61.801583333333326</v>
      </c>
      <c r="I53" s="1903">
        <v>61.801583333333326</v>
      </c>
      <c r="J53" s="1903">
        <v>61.801583333333326</v>
      </c>
      <c r="K53" s="1903">
        <v>61.801583333333326</v>
      </c>
      <c r="L53" s="1903">
        <v>61.801583333333326</v>
      </c>
      <c r="M53" s="1903">
        <v>61.801583333333326</v>
      </c>
      <c r="N53" s="1904">
        <v>61.801583333333326</v>
      </c>
      <c r="O53" s="1862">
        <f t="shared" ref="O53:O61" si="19">SUMPRODUCT($C$4:$N$4,C53:N53)</f>
        <v>136.96742</v>
      </c>
      <c r="P53" s="1863">
        <f t="shared" ref="P53:P61" si="20">SUM(C53:N53)</f>
        <v>699.91833666666662</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c r="D55" s="1326"/>
      <c r="E55" s="1326"/>
      <c r="F55" s="1326"/>
      <c r="G55" s="1326"/>
      <c r="H55" s="1326"/>
      <c r="I55" s="1326"/>
      <c r="J55" s="1326"/>
      <c r="K55" s="1326"/>
      <c r="L55" s="1326"/>
      <c r="M55" s="1326"/>
      <c r="N55" s="1333"/>
      <c r="O55" s="1862">
        <f t="shared" si="19"/>
        <v>0</v>
      </c>
      <c r="P55" s="1863">
        <f t="shared" si="20"/>
        <v>0</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20.422166666666669</v>
      </c>
      <c r="G59" s="1326">
        <v>17.830416666666668</v>
      </c>
      <c r="H59" s="1326">
        <v>17.830416666666668</v>
      </c>
      <c r="I59" s="1326">
        <v>17.830416666666668</v>
      </c>
      <c r="J59" s="1326">
        <v>17.830416666666668</v>
      </c>
      <c r="K59" s="1326">
        <v>17.830416666666668</v>
      </c>
      <c r="L59" s="1326">
        <v>17.830416666666668</v>
      </c>
      <c r="M59" s="1326">
        <v>17.830416666666668</v>
      </c>
      <c r="N59" s="1333">
        <v>17.830416666666668</v>
      </c>
      <c r="O59" s="1862">
        <f t="shared" si="19"/>
        <v>57.395359999999997</v>
      </c>
      <c r="P59" s="1863">
        <f t="shared" si="20"/>
        <v>220.46086000000005</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88.960416666666646</v>
      </c>
      <c r="G62" s="1907">
        <f t="shared" si="21"/>
        <v>79.631999999999991</v>
      </c>
      <c r="H62" s="1907">
        <f t="shared" si="21"/>
        <v>79.631999999999991</v>
      </c>
      <c r="I62" s="1907">
        <f t="shared" si="21"/>
        <v>79.631999999999991</v>
      </c>
      <c r="J62" s="1907">
        <f t="shared" si="21"/>
        <v>79.631999999999991</v>
      </c>
      <c r="K62" s="1907">
        <f t="shared" si="21"/>
        <v>79.631999999999991</v>
      </c>
      <c r="L62" s="1907">
        <f t="shared" si="21"/>
        <v>79.631999999999991</v>
      </c>
      <c r="M62" s="1907">
        <f t="shared" si="21"/>
        <v>79.631999999999991</v>
      </c>
      <c r="N62" s="1907">
        <f t="shared" si="21"/>
        <v>79.631999999999991</v>
      </c>
      <c r="O62" s="1907">
        <f t="shared" si="21"/>
        <v>194.36277999999999</v>
      </c>
      <c r="P62" s="1908">
        <f t="shared" si="21"/>
        <v>920.37919666666664</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44.177999999999997</v>
      </c>
      <c r="G66" s="1326">
        <v>44.177999999999997</v>
      </c>
      <c r="H66" s="1326">
        <v>104.178</v>
      </c>
      <c r="I66" s="1326">
        <v>116.678</v>
      </c>
      <c r="J66" s="1326">
        <v>31.678000000000001</v>
      </c>
      <c r="K66" s="1326">
        <v>31.678000000000001</v>
      </c>
      <c r="L66" s="1326">
        <v>31.678000000000001</v>
      </c>
      <c r="M66" s="1326">
        <v>63.964276650000002</v>
      </c>
      <c r="N66" s="1333">
        <v>63.96227665</v>
      </c>
      <c r="O66" s="1862">
        <f t="shared" si="22"/>
        <v>37.448250000000002</v>
      </c>
      <c r="P66" s="1863">
        <f t="shared" si="23"/>
        <v>569.62080330000003</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44.177999999999997</v>
      </c>
      <c r="G76" s="1907">
        <f t="shared" si="24"/>
        <v>44.177999999999997</v>
      </c>
      <c r="H76" s="1907">
        <f t="shared" si="24"/>
        <v>104.178</v>
      </c>
      <c r="I76" s="1907">
        <f t="shared" si="24"/>
        <v>116.678</v>
      </c>
      <c r="J76" s="1907">
        <f t="shared" si="24"/>
        <v>31.678000000000001</v>
      </c>
      <c r="K76" s="1907">
        <f t="shared" si="24"/>
        <v>31.678000000000001</v>
      </c>
      <c r="L76" s="1907">
        <f t="shared" si="24"/>
        <v>31.678000000000001</v>
      </c>
      <c r="M76" s="1907">
        <f t="shared" si="24"/>
        <v>63.964276650000002</v>
      </c>
      <c r="N76" s="1907">
        <f t="shared" si="24"/>
        <v>63.96227665</v>
      </c>
      <c r="O76" s="1907">
        <f t="shared" si="24"/>
        <v>37.448250000000002</v>
      </c>
      <c r="P76" s="1907">
        <f t="shared" si="24"/>
        <v>569.62080330000003</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133.13841666666664</v>
      </c>
      <c r="G77" s="1340">
        <f t="shared" si="25"/>
        <v>123.80999999999999</v>
      </c>
      <c r="H77" s="1340">
        <f t="shared" si="25"/>
        <v>183.81</v>
      </c>
      <c r="I77" s="1340">
        <f t="shared" si="25"/>
        <v>196.31</v>
      </c>
      <c r="J77" s="1340">
        <f t="shared" si="25"/>
        <v>111.30999999999999</v>
      </c>
      <c r="K77" s="1340">
        <f t="shared" si="25"/>
        <v>111.30999999999999</v>
      </c>
      <c r="L77" s="1340">
        <f t="shared" si="25"/>
        <v>111.30999999999999</v>
      </c>
      <c r="M77" s="1340">
        <f t="shared" si="25"/>
        <v>143.59627664999999</v>
      </c>
      <c r="N77" s="1912">
        <f t="shared" si="25"/>
        <v>143.59427664999998</v>
      </c>
      <c r="O77" s="1340">
        <f t="shared" si="25"/>
        <v>231.81102999999999</v>
      </c>
      <c r="P77" s="1866">
        <f t="shared" si="25"/>
        <v>1489.9999999666666</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265.55312969696968</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-13.611231818181807</v>
      </c>
      <c r="G80" s="1907">
        <f t="shared" si="26"/>
        <v>-4.2828151515151518</v>
      </c>
      <c r="H80" s="1907">
        <f t="shared" si="26"/>
        <v>-4.282815151515166</v>
      </c>
      <c r="I80" s="1907">
        <f t="shared" si="26"/>
        <v>-29.282815151515166</v>
      </c>
      <c r="J80" s="1907">
        <f t="shared" si="26"/>
        <v>-4.2828151515151518</v>
      </c>
      <c r="K80" s="1907">
        <f t="shared" si="26"/>
        <v>-4.2828151515151518</v>
      </c>
      <c r="L80" s="1907">
        <f t="shared" si="26"/>
        <v>-4.2828151515151518</v>
      </c>
      <c r="M80" s="1907">
        <f t="shared" si="26"/>
        <v>15.282013198484862</v>
      </c>
      <c r="N80" s="1907">
        <f t="shared" si="26"/>
        <v>15.284013198484871</v>
      </c>
      <c r="O80" s="1907">
        <f t="shared" si="26"/>
        <v>33.742099696969689</v>
      </c>
      <c r="P80" s="1908">
        <f t="shared" si="26"/>
        <v>3.3666667604848044E-6</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5"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265.55316969696969</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5" customHeight="1">
      <c r="A85" s="2723">
        <f t="shared" si="1"/>
        <v>59</v>
      </c>
      <c r="B85" s="2726" t="s">
        <v>1355</v>
      </c>
      <c r="C85" s="1330">
        <v>60.311999999999998</v>
      </c>
      <c r="D85" s="1325">
        <v>89.321359999999999</v>
      </c>
      <c r="E85" s="1325">
        <v>82.17770999999999</v>
      </c>
      <c r="F85" s="1325">
        <v>133.13841666666664</v>
      </c>
      <c r="G85" s="1325">
        <v>123.80999999999999</v>
      </c>
      <c r="H85" s="1325">
        <v>183.81</v>
      </c>
      <c r="I85" s="1325">
        <v>196.31</v>
      </c>
      <c r="J85" s="1325">
        <v>111.30999999999999</v>
      </c>
      <c r="K85" s="1325">
        <v>111.30999999999999</v>
      </c>
      <c r="L85" s="1325">
        <v>111.30999999999999</v>
      </c>
      <c r="M85" s="1325">
        <v>143.59618</v>
      </c>
      <c r="N85" s="1334">
        <v>143.59417999999999</v>
      </c>
      <c r="O85" s="1323">
        <f t="shared" si="27"/>
        <v>231.81106999999997</v>
      </c>
      <c r="P85" s="1324">
        <f t="shared" si="28"/>
        <v>1489.9998466666666</v>
      </c>
      <c r="Q85" s="608"/>
      <c r="R85" s="608"/>
      <c r="S85" s="608"/>
      <c r="T85" s="839"/>
      <c r="U85" s="80"/>
      <c r="V85" s="80"/>
      <c r="W85" s="80"/>
      <c r="X85" s="80"/>
      <c r="Y85" s="80"/>
      <c r="Z85" s="80"/>
      <c r="AA85" s="80"/>
      <c r="AB85" s="80"/>
      <c r="AC85" s="80"/>
      <c r="AD85" s="80"/>
      <c r="AE85" s="80"/>
      <c r="AF85" s="1115"/>
      <c r="AG85" s="80"/>
      <c r="AH85" s="80"/>
      <c r="AI85" s="80"/>
      <c r="AJ85" s="80"/>
    </row>
    <row r="86" spans="1:36" ht="17.75" customHeight="1">
      <c r="A86" s="2723">
        <f t="shared" si="1"/>
        <v>60</v>
      </c>
      <c r="B86" s="2726" t="s">
        <v>1329</v>
      </c>
      <c r="C86" s="1330"/>
      <c r="D86" s="1325"/>
      <c r="E86" s="1325"/>
      <c r="F86" s="1325"/>
      <c r="G86" s="1325"/>
      <c r="H86" s="1325"/>
      <c r="I86" s="1325"/>
      <c r="J86" s="1325"/>
      <c r="K86" s="1325"/>
      <c r="L86" s="1325"/>
      <c r="M86" s="1325"/>
      <c r="N86" s="1334"/>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5" customHeight="1">
      <c r="A87" s="2723">
        <f t="shared" si="1"/>
        <v>61</v>
      </c>
      <c r="B87" s="2726" t="s">
        <v>1320</v>
      </c>
      <c r="C87" s="2730">
        <f>C85+C86</f>
        <v>60.311999999999998</v>
      </c>
      <c r="D87" s="2730">
        <f t="shared" ref="D87" si="29">D85+D86</f>
        <v>89.321359999999999</v>
      </c>
      <c r="E87" s="2730">
        <f t="shared" ref="E87" si="30">E85+E86</f>
        <v>82.17770999999999</v>
      </c>
      <c r="F87" s="2730">
        <f t="shared" ref="F87" si="31">F85+F86</f>
        <v>133.13841666666664</v>
      </c>
      <c r="G87" s="2730">
        <f t="shared" ref="G87" si="32">G85+G86</f>
        <v>123.80999999999999</v>
      </c>
      <c r="H87" s="2730">
        <f t="shared" ref="H87" si="33">H85+H86</f>
        <v>183.81</v>
      </c>
      <c r="I87" s="2730">
        <f t="shared" ref="I87" si="34">I85+I86</f>
        <v>196.31</v>
      </c>
      <c r="J87" s="2730">
        <f t="shared" ref="J87" si="35">J85+J86</f>
        <v>111.30999999999999</v>
      </c>
      <c r="K87" s="2730">
        <f t="shared" ref="K87" si="36">K85+K86</f>
        <v>111.30999999999999</v>
      </c>
      <c r="L87" s="2730">
        <f t="shared" ref="L87" si="37">L85+L86</f>
        <v>111.30999999999999</v>
      </c>
      <c r="M87" s="2730">
        <f t="shared" ref="M87" si="38">M85+M86</f>
        <v>143.59618</v>
      </c>
      <c r="N87" s="2765">
        <f t="shared" ref="N87" si="39">N85+N86</f>
        <v>143.59417999999999</v>
      </c>
      <c r="O87" s="1338">
        <f t="shared" si="27"/>
        <v>231.81106999999997</v>
      </c>
      <c r="P87" s="1339">
        <f t="shared" si="28"/>
        <v>1489.9998466666666</v>
      </c>
      <c r="Q87" s="608"/>
      <c r="R87" s="608"/>
      <c r="S87" s="608"/>
      <c r="T87" s="839"/>
      <c r="U87" s="80"/>
      <c r="V87" s="80"/>
      <c r="W87" s="80"/>
      <c r="X87" s="80"/>
      <c r="Y87" s="80"/>
      <c r="Z87" s="80"/>
      <c r="AA87" s="80"/>
      <c r="AB87" s="80"/>
      <c r="AC87" s="80"/>
      <c r="AD87" s="80"/>
      <c r="AE87" s="80"/>
      <c r="AF87" s="1115"/>
      <c r="AG87" s="80"/>
      <c r="AH87" s="80"/>
      <c r="AI87" s="80"/>
      <c r="AJ87" s="80"/>
    </row>
    <row r="88" spans="1:36" ht="17.75" customHeight="1" thickBot="1">
      <c r="A88" s="2723">
        <f t="shared" si="1"/>
        <v>62</v>
      </c>
      <c r="B88" s="2728" t="s">
        <v>1322</v>
      </c>
      <c r="C88" s="2734">
        <f>C87-C84</f>
        <v>0</v>
      </c>
      <c r="D88" s="2734">
        <f t="shared" ref="D88" si="40">D87-D84</f>
        <v>3.6073751515151571</v>
      </c>
      <c r="E88" s="2734">
        <f t="shared" ref="E88" si="41">E87-E84</f>
        <v>-37.349474848484846</v>
      </c>
      <c r="F88" s="2734">
        <f t="shared" ref="F88" si="42">F87-F84</f>
        <v>13.611231818181807</v>
      </c>
      <c r="G88" s="2734">
        <f t="shared" ref="G88" si="43">G87-G84</f>
        <v>4.2828151515151518</v>
      </c>
      <c r="H88" s="2734">
        <f t="shared" ref="H88" si="44">H87-H84</f>
        <v>4.282815151515166</v>
      </c>
      <c r="I88" s="2734">
        <f t="shared" ref="I88" si="45">I87-I84</f>
        <v>29.282815151515166</v>
      </c>
      <c r="J88" s="2734">
        <f t="shared" ref="J88" si="46">J87-J84</f>
        <v>4.2828151515151518</v>
      </c>
      <c r="K88" s="2734">
        <f t="shared" ref="K88" si="47">K87-K84</f>
        <v>4.2828151515151518</v>
      </c>
      <c r="L88" s="2734">
        <f t="shared" ref="L88" si="48">L87-L84</f>
        <v>4.2828151515151518</v>
      </c>
      <c r="M88" s="2734">
        <f t="shared" ref="M88" si="49">M87-M84</f>
        <v>-15.282109848484851</v>
      </c>
      <c r="N88" s="2764">
        <f t="shared" ref="N88:P88" si="50">N87-N84</f>
        <v>-15.28410984848486</v>
      </c>
      <c r="O88" s="2758">
        <f t="shared" si="50"/>
        <v>-33.742099696969717</v>
      </c>
      <c r="P88" s="2760">
        <f t="shared" si="50"/>
        <v>-1.9666666662487842E-4</v>
      </c>
      <c r="Q88" s="608"/>
      <c r="R88" s="608"/>
      <c r="S88" s="608"/>
      <c r="T88" s="839"/>
      <c r="U88" s="80"/>
      <c r="V88" s="80"/>
      <c r="W88" s="80"/>
      <c r="X88" s="80"/>
      <c r="Y88" s="80"/>
      <c r="Z88" s="80"/>
      <c r="AA88" s="80"/>
      <c r="AB88" s="80"/>
      <c r="AC88" s="80"/>
      <c r="AD88" s="80"/>
      <c r="AE88" s="80"/>
      <c r="AF88" s="1115"/>
      <c r="AG88" s="80"/>
      <c r="AH88" s="80"/>
      <c r="AI88" s="80"/>
      <c r="AJ88" s="80"/>
    </row>
    <row r="89" spans="1:36" ht="17.75"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5"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-9.6649999989040225E-5</v>
      </c>
      <c r="N90" s="1340">
        <f t="shared" si="51"/>
        <v>-9.6649999989040225E-5</v>
      </c>
      <c r="O90" s="1340">
        <f t="shared" si="51"/>
        <v>3.9999999984274837E-5</v>
      </c>
      <c r="P90" s="1340">
        <f t="shared" si="51"/>
        <v>-1.532999999653839E-4</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5"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5"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5"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5"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5"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5"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5"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5"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3602.1674421769803</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5"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1168.4178304284153</v>
      </c>
      <c r="G148" s="2739">
        <f t="shared" si="93"/>
        <v>1122.7011637617486</v>
      </c>
      <c r="H148" s="2739">
        <f t="shared" si="93"/>
        <v>1434.4386783715847</v>
      </c>
      <c r="I148" s="2739">
        <f t="shared" si="93"/>
        <v>1461.883655619672</v>
      </c>
      <c r="J148" s="2739">
        <f t="shared" si="93"/>
        <v>1388.1261898469945</v>
      </c>
      <c r="K148" s="2739">
        <f t="shared" si="93"/>
        <v>1631.308655619672</v>
      </c>
      <c r="L148" s="2739">
        <f t="shared" si="93"/>
        <v>1420.883655619672</v>
      </c>
      <c r="M148" s="2739">
        <f t="shared" si="93"/>
        <v>1361.3131007243169</v>
      </c>
      <c r="N148" s="2739">
        <f t="shared" si="93"/>
        <v>1644.389797269672</v>
      </c>
      <c r="O148" s="1323">
        <f t="shared" si="90"/>
        <v>2865.1581200000001</v>
      </c>
      <c r="P148" s="1324">
        <f t="shared" si="91"/>
        <v>15498.620847261747</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5" customHeight="1" thickBot="1">
      <c r="A149" s="2740">
        <f t="shared" si="92"/>
        <v>110</v>
      </c>
      <c r="B149" s="2728" t="s">
        <v>1333</v>
      </c>
      <c r="C149" s="2741">
        <f>C147-C148</f>
        <v>0</v>
      </c>
      <c r="D149" s="2741">
        <f t="shared" ref="D149:N149" si="94">D147-D148</f>
        <v>128.49630925089446</v>
      </c>
      <c r="E149" s="2741">
        <f t="shared" si="94"/>
        <v>608.51301292608559</v>
      </c>
      <c r="F149" s="2741">
        <f t="shared" si="94"/>
        <v>-23.673596177520722</v>
      </c>
      <c r="G149" s="2741">
        <f t="shared" si="94"/>
        <v>12.543070489145975</v>
      </c>
      <c r="H149" s="2741">
        <f t="shared" si="94"/>
        <v>217.34867288783425</v>
      </c>
      <c r="I149" s="2741">
        <f t="shared" si="94"/>
        <v>-23.13570863385462</v>
      </c>
      <c r="J149" s="2741">
        <f t="shared" si="94"/>
        <v>-4.1578140053923107</v>
      </c>
      <c r="K149" s="2741">
        <f t="shared" si="94"/>
        <v>276.99668303281192</v>
      </c>
      <c r="L149" s="2741">
        <f t="shared" si="94"/>
        <v>-4.1357086338546196</v>
      </c>
      <c r="M149" s="2741">
        <f t="shared" si="94"/>
        <v>3.4098539730703123</v>
      </c>
      <c r="N149" s="2741">
        <f t="shared" si="94"/>
        <v>239.17437860503401</v>
      </c>
      <c r="O149" s="1366">
        <f t="shared" si="90"/>
        <v>737.00932217698005</v>
      </c>
      <c r="P149" s="1367">
        <f t="shared" si="91"/>
        <v>1431.3791537142542</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5"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5"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3602.1672521769801</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5" customHeight="1">
      <c r="A152" s="2747">
        <f t="shared" si="92"/>
        <v>112</v>
      </c>
      <c r="B152" s="2748" t="s">
        <v>1337</v>
      </c>
      <c r="C152" s="2749">
        <f>C42+C85+C138</f>
        <v>984.98723000000007</v>
      </c>
      <c r="D152" s="2750">
        <f t="shared" ref="D152:N152" si="96">D42+D85+D138</f>
        <v>918.43759999999997</v>
      </c>
      <c r="E152" s="2750">
        <f t="shared" si="96"/>
        <v>961.73333000000002</v>
      </c>
      <c r="F152" s="2750">
        <f t="shared" si="96"/>
        <v>1168.4178304284153</v>
      </c>
      <c r="G152" s="2750">
        <f t="shared" si="96"/>
        <v>1122.7011637617486</v>
      </c>
      <c r="H152" s="2750">
        <f t="shared" si="96"/>
        <v>1434.4386783715847</v>
      </c>
      <c r="I152" s="2750">
        <f t="shared" si="96"/>
        <v>1461.883655619672</v>
      </c>
      <c r="J152" s="2750">
        <f t="shared" si="96"/>
        <v>1388.1261898469945</v>
      </c>
      <c r="K152" s="2750">
        <f t="shared" si="96"/>
        <v>1631.308655619672</v>
      </c>
      <c r="L152" s="2750">
        <f t="shared" si="96"/>
        <v>1420.883655619672</v>
      </c>
      <c r="M152" s="2750">
        <f t="shared" si="96"/>
        <v>1361.313004074317</v>
      </c>
      <c r="N152" s="2751">
        <f t="shared" si="96"/>
        <v>1644.3897006196721</v>
      </c>
      <c r="O152" s="1323">
        <f t="shared" ref="O152:O154" si="97">SUMPRODUCT($C$4:$N$4,C152:N152)</f>
        <v>2865.15816</v>
      </c>
      <c r="P152" s="1324">
        <f t="shared" ref="P152:P154" si="98">SUM(C152:N152)</f>
        <v>15498.620693961748</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5"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5" customHeight="1">
      <c r="A154" s="2747">
        <f t="shared" si="92"/>
        <v>114</v>
      </c>
      <c r="B154" s="2752" t="s">
        <v>1336</v>
      </c>
      <c r="C154" s="2753">
        <f>C152+C153</f>
        <v>984.98723000000007</v>
      </c>
      <c r="D154" s="2754">
        <f t="shared" ref="D154:N154" si="100">D152+D153</f>
        <v>918.43759999999997</v>
      </c>
      <c r="E154" s="2754">
        <f t="shared" si="100"/>
        <v>961.73333000000002</v>
      </c>
      <c r="F154" s="2754">
        <f t="shared" si="100"/>
        <v>1168.4178304284153</v>
      </c>
      <c r="G154" s="2754">
        <f t="shared" si="100"/>
        <v>1122.7011637617486</v>
      </c>
      <c r="H154" s="2754">
        <f t="shared" si="100"/>
        <v>1434.4386783715847</v>
      </c>
      <c r="I154" s="2754">
        <f t="shared" si="100"/>
        <v>1461.883655619672</v>
      </c>
      <c r="J154" s="2754">
        <f t="shared" si="100"/>
        <v>1388.1261898469945</v>
      </c>
      <c r="K154" s="2754">
        <f t="shared" si="100"/>
        <v>1631.308655619672</v>
      </c>
      <c r="L154" s="2754">
        <f t="shared" si="100"/>
        <v>1420.883655619672</v>
      </c>
      <c r="M154" s="2754">
        <f t="shared" si="100"/>
        <v>1361.313004074317</v>
      </c>
      <c r="N154" s="2755">
        <f t="shared" si="100"/>
        <v>1644.3897006196721</v>
      </c>
      <c r="O154" s="1323">
        <f t="shared" si="97"/>
        <v>2865.15816</v>
      </c>
      <c r="P154" s="1324">
        <f t="shared" si="98"/>
        <v>15498.620693961748</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5" customHeight="1" thickBot="1">
      <c r="A155" s="2756">
        <f t="shared" si="92"/>
        <v>115</v>
      </c>
      <c r="B155" s="2757" t="s">
        <v>1334</v>
      </c>
      <c r="C155" s="2758">
        <f>C154-C151</f>
        <v>2.3000000010142685E-4</v>
      </c>
      <c r="D155" s="2759">
        <f t="shared" ref="D155:P155" si="101">D154-D151</f>
        <v>-128.49630925089446</v>
      </c>
      <c r="E155" s="2759">
        <f t="shared" si="101"/>
        <v>-608.51301292608559</v>
      </c>
      <c r="F155" s="2759">
        <f t="shared" si="101"/>
        <v>23.673596177520722</v>
      </c>
      <c r="G155" s="2759">
        <f t="shared" si="101"/>
        <v>-12.543070489145975</v>
      </c>
      <c r="H155" s="2759">
        <f t="shared" si="101"/>
        <v>-217.34867288783425</v>
      </c>
      <c r="I155" s="2759">
        <f t="shared" si="101"/>
        <v>23.13570863385462</v>
      </c>
      <c r="J155" s="2759">
        <f t="shared" si="101"/>
        <v>4.1578140053923107</v>
      </c>
      <c r="K155" s="2759">
        <f t="shared" si="101"/>
        <v>-276.99668303281192</v>
      </c>
      <c r="L155" s="2759">
        <f t="shared" si="101"/>
        <v>4.1357086338546196</v>
      </c>
      <c r="M155" s="2759">
        <f t="shared" si="101"/>
        <v>-3.4099506230702445</v>
      </c>
      <c r="N155" s="2760">
        <f t="shared" si="101"/>
        <v>-239.17447525503394</v>
      </c>
      <c r="O155" s="2758">
        <f t="shared" si="101"/>
        <v>-737.00909217698018</v>
      </c>
      <c r="P155" s="2760">
        <f t="shared" si="101"/>
        <v>-1431.379117014254</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5"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5"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5" customHeight="1">
      <c r="A158" s="2747">
        <f t="shared" si="92"/>
        <v>117</v>
      </c>
      <c r="B158" s="2748" t="s">
        <v>1339</v>
      </c>
      <c r="C158" s="2749">
        <f>C154-C148</f>
        <v>4.0000000012696546E-5</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-9.6649999932196806E-5</v>
      </c>
      <c r="N158" s="2762">
        <f t="shared" si="105"/>
        <v>-9.6649999932196806E-5</v>
      </c>
      <c r="O158" s="1323">
        <f t="shared" si="103"/>
        <v>4.0000000012696546E-5</v>
      </c>
      <c r="P158" s="1324">
        <f t="shared" si="104"/>
        <v>-1.5329999985169707E-4</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5" customHeight="1" thickBot="1">
      <c r="A159" s="2756">
        <f t="shared" si="92"/>
        <v>118</v>
      </c>
      <c r="B159" s="2757" t="s">
        <v>1340</v>
      </c>
      <c r="C159" s="2758">
        <f>C158-C157</f>
        <v>2.3000000010142685E-4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-9.6649999932196806E-5</v>
      </c>
      <c r="N159" s="2763">
        <f t="shared" si="106"/>
        <v>-9.6649999932196806E-5</v>
      </c>
      <c r="O159" s="1366">
        <f t="shared" si="103"/>
        <v>2.3000000010142685E-4</v>
      </c>
      <c r="P159" s="1367">
        <f t="shared" si="104"/>
        <v>3.6700000237033237E-5</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4375" defaultRowHeight="13"/>
  <cols>
    <col min="1" max="1" width="4.15234375" style="9" customWidth="1"/>
    <col min="2" max="2" width="17.4609375" style="9" customWidth="1"/>
    <col min="3" max="3" width="22.84375" style="9" customWidth="1"/>
    <col min="4" max="4" width="8.53515625" style="7" customWidth="1"/>
    <col min="5" max="6" width="7.84375" style="7" customWidth="1"/>
    <col min="7" max="7" width="8" style="7" customWidth="1"/>
    <col min="8" max="8" width="7.84375" style="7" customWidth="1"/>
    <col min="9" max="9" width="7.84375" style="8" customWidth="1"/>
    <col min="10" max="11" width="8.07421875" style="7" customWidth="1"/>
    <col min="12" max="12" width="7.84375" style="7" customWidth="1"/>
    <col min="13" max="15" width="8.15234375" style="7" customWidth="1"/>
    <col min="16" max="16" width="8.07421875" style="7" customWidth="1"/>
    <col min="17" max="17" width="7.84375" style="9" customWidth="1"/>
    <col min="18" max="18" width="13.84375" style="9" customWidth="1"/>
    <col min="19" max="20" width="11.84375" style="9" customWidth="1"/>
    <col min="21" max="21" width="10.15234375" style="9" customWidth="1"/>
    <col min="22" max="22" width="12" style="9" customWidth="1"/>
    <col min="23" max="23" width="2.07421875" style="9" customWidth="1"/>
    <col min="24" max="24" width="10.53515625" style="9" customWidth="1"/>
    <col min="25" max="29" width="8.84375" style="757"/>
    <col min="30" max="30" width="57" style="757" customWidth="1"/>
    <col min="31" max="31" width="52.15234375" style="9" customWidth="1"/>
    <col min="32" max="16384" width="8.843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Jun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3</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0</v>
      </c>
      <c r="H9" s="107">
        <f t="shared" si="1"/>
        <v>0</v>
      </c>
      <c r="I9" s="107">
        <f t="shared" si="1"/>
        <v>0</v>
      </c>
      <c r="J9" s="107">
        <f t="shared" si="1"/>
        <v>0</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691.5</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691.5</v>
      </c>
      <c r="Q23" s="939">
        <f t="shared" si="2"/>
        <v>1758</v>
      </c>
      <c r="R23" s="325">
        <f>+P23/Q23</f>
        <v>0.39334470989761094</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691.5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903.74999999999989</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903.74999999999989</v>
      </c>
      <c r="Q26" s="939">
        <f t="shared" si="2"/>
        <v>1416.0000000000002</v>
      </c>
      <c r="R26" s="325">
        <f>+P26/Q26</f>
        <v>0.63824152542372858</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903.74999999999989</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1595.25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1595.25</v>
      </c>
      <c r="Q32" s="75">
        <f t="shared" si="14"/>
        <v>3174</v>
      </c>
      <c r="R32" s="325">
        <f>+P32/Q32</f>
        <v>0.5025992438563327</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903.74999999999989</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Jun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3</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0</v>
      </c>
      <c r="H49" s="108">
        <f t="shared" si="20"/>
        <v>0</v>
      </c>
      <c r="I49" s="108">
        <f t="shared" si="20"/>
        <v>0</v>
      </c>
      <c r="J49" s="108">
        <f t="shared" si="20"/>
        <v>0</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170.75</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170.75</v>
      </c>
      <c r="Q57" s="939">
        <f t="shared" si="22"/>
        <v>682.99999999999989</v>
      </c>
      <c r="R57" s="325">
        <f>+P57/Q57</f>
        <v>0.25000000000000006</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903.74999999999989</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903.74999999999989</v>
      </c>
      <c r="Q72" s="75">
        <f t="shared" si="22"/>
        <v>1416.0000000000002</v>
      </c>
      <c r="R72" s="325">
        <f>+P72/Q72</f>
        <v>0.63824152542372858</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0</v>
      </c>
      <c r="H79" s="108">
        <f t="shared" si="35"/>
        <v>0</v>
      </c>
      <c r="I79" s="108">
        <f t="shared" si="35"/>
        <v>0</v>
      </c>
      <c r="J79" s="108">
        <f t="shared" si="35"/>
        <v>0</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0</v>
      </c>
      <c r="H103" s="108">
        <f t="shared" si="48"/>
        <v>0</v>
      </c>
      <c r="I103" s="108">
        <f t="shared" si="48"/>
        <v>0</v>
      </c>
      <c r="J103" s="108">
        <f t="shared" si="48"/>
        <v>0</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903.74999999999989</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903.74999999999989</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691.5</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691.5</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5"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1595.25</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1595.25</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zoomScale="85" zoomScaleNormal="85" workbookViewId="0">
      <selection activeCell="E48" sqref="E48"/>
    </sheetView>
  </sheetViews>
  <sheetFormatPr defaultRowHeight="15.5"/>
  <cols>
    <col min="1" max="1" width="10.53515625" customWidth="1"/>
    <col min="2" max="2" width="10.4609375" style="1429" customWidth="1"/>
    <col min="3" max="3" width="9.53515625" style="1429" customWidth="1"/>
    <col min="4" max="4" width="10.8437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84375" style="1432" customWidth="1"/>
    <col min="16" max="16" width="10" style="1433" bestFit="1" customWidth="1"/>
    <col min="17" max="17" width="12.07421875" style="1433" bestFit="1" customWidth="1"/>
    <col min="18" max="18" width="9.84375" style="1433" bestFit="1" customWidth="1"/>
    <col min="19" max="31" width="11.84375" style="1434" customWidth="1"/>
    <col min="32" max="58" width="11.84375" customWidth="1"/>
    <col min="61" max="74" width="13.15234375" customWidth="1"/>
    <col min="77" max="78" width="9.15234375" customWidth="1"/>
    <col min="79" max="79" width="7.07421875" customWidth="1"/>
    <col min="80" max="83" width="9.15234375" customWidth="1"/>
    <col min="84" max="95" width="35.84375" customWidth="1"/>
    <col min="96" max="96" width="2.84375" customWidth="1"/>
    <col min="97" max="97" width="9.15234375" customWidth="1"/>
    <col min="98" max="98" width="24.15234375" customWidth="1"/>
    <col min="99" max="99" width="2.84375" customWidth="1"/>
    <col min="100" max="100" width="46.15234375" bestFit="1" customWidth="1"/>
    <col min="101" max="101" width="3" customWidth="1"/>
    <col min="102" max="102" width="9.152343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3</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Jun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0</v>
      </c>
      <c r="H5" s="1124">
        <f>IF(H6&lt;=VLOOKUP(Summary!$H$1,Summary!$V$1:$W$12,2,FALSE),1,0)</f>
        <v>0</v>
      </c>
      <c r="I5" s="1124">
        <f>IF(I6&lt;=VLOOKUP(Summary!$H$1,Summary!$V$1:$W$12,2,FALSE),1,0)</f>
        <v>0</v>
      </c>
      <c r="J5" s="1124">
        <f>IF(J6&lt;=VLOOKUP(Summary!$H$1,Summary!$V$1:$W$12,2,FALSE),1,0)</f>
        <v>0</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1595.25</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1595.25</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1595.25</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1595.25</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1595.25</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1595.25</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1595.25</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1595.25</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0</v>
      </c>
      <c r="AG40" s="107">
        <f t="shared" si="40"/>
        <v>0</v>
      </c>
      <c r="AH40" s="107">
        <f t="shared" si="40"/>
        <v>0</v>
      </c>
      <c r="AI40" s="107">
        <f t="shared" si="40"/>
        <v>0</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1463</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110.75</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1462</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170.75</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64.5</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1464</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120.25</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45</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15</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D22" sqref="D22"/>
    </sheetView>
  </sheetViews>
  <sheetFormatPr defaultColWidth="8.84375" defaultRowHeight="15.5"/>
  <cols>
    <col min="1" max="1" width="5.15234375" customWidth="1"/>
    <col min="2" max="2" width="30.15234375" bestFit="1" customWidth="1"/>
    <col min="3" max="5" width="11.15234375" customWidth="1"/>
    <col min="6" max="6" width="2.84375" customWidth="1"/>
    <col min="7" max="9" width="11.8437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Jun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357</v>
      </c>
      <c r="D21" s="41">
        <v>3823</v>
      </c>
      <c r="E21" s="199">
        <f t="shared" si="2"/>
        <v>4180</v>
      </c>
      <c r="F21" s="71"/>
      <c r="G21" s="3011">
        <v>2112</v>
      </c>
      <c r="H21" s="3011">
        <v>905</v>
      </c>
      <c r="I21" s="199">
        <f t="shared" si="3"/>
        <v>3017</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144</v>
      </c>
      <c r="I23" s="199">
        <f t="shared" si="3"/>
        <v>144</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2075</v>
      </c>
      <c r="D25" s="41">
        <v>0</v>
      </c>
      <c r="E25" s="199">
        <f t="shared" si="2"/>
        <v>2075</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20350</v>
      </c>
      <c r="D27" s="199">
        <f>SUM(D11:D26)</f>
        <v>12225</v>
      </c>
      <c r="E27" s="199">
        <f>SUM(E11:E26)</f>
        <v>32575</v>
      </c>
      <c r="F27" s="71"/>
      <c r="G27" s="199">
        <f>SUM(G11:G26)</f>
        <v>17702</v>
      </c>
      <c r="H27" s="199">
        <f>SUM(H11:H26)</f>
        <v>23221</v>
      </c>
      <c r="I27" s="199">
        <f>SUM(I11:I26)</f>
        <v>40923</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AA158"/>
  <sheetViews>
    <sheetView showGridLines="0" zoomScale="70" zoomScaleNormal="70" workbookViewId="0">
      <selection activeCell="L115" sqref="L115"/>
    </sheetView>
  </sheetViews>
  <sheetFormatPr defaultColWidth="8.84375" defaultRowHeight="15.5"/>
  <cols>
    <col min="1" max="1" width="4.84375" customWidth="1"/>
    <col min="2" max="2" width="60.84375" customWidth="1"/>
    <col min="3" max="6" width="12.4609375" customWidth="1"/>
    <col min="7" max="8" width="13.84375" customWidth="1"/>
    <col min="9" max="11" width="16" customWidth="1"/>
    <col min="12" max="12" width="32.15234375" customWidth="1"/>
    <col min="13" max="13" width="8.84375" style="788"/>
    <col min="14" max="17" width="8.84375" style="754"/>
    <col min="18" max="18" width="54.152343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Jun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8" priority="1" stopIfTrue="1" operator="equal">
      <formula>"OK"</formula>
    </cfRule>
  </conditionalFormatting>
  <conditionalFormatting sqref="B2:C2 C1">
    <cfRule type="cellIs" dxfId="47"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A1:BB111"/>
  <sheetViews>
    <sheetView showGridLines="0" zoomScale="70" zoomScaleNormal="70" zoomScaleSheetLayoutView="55" workbookViewId="0">
      <selection activeCell="P23" sqref="P23"/>
    </sheetView>
  </sheetViews>
  <sheetFormatPr defaultColWidth="8.84375" defaultRowHeight="15.5"/>
  <cols>
    <col min="1" max="1" width="5.84375" customWidth="1"/>
    <col min="2" max="2" width="60.84375" customWidth="1"/>
    <col min="3" max="3" width="13.07421875" bestFit="1" customWidth="1"/>
    <col min="4" max="4" width="16.07421875" bestFit="1" customWidth="1"/>
    <col min="5" max="5" width="14.84375" bestFit="1" customWidth="1"/>
    <col min="6" max="6" width="12.53515625" bestFit="1" customWidth="1"/>
    <col min="7" max="7" width="12.15234375" bestFit="1" customWidth="1"/>
    <col min="8" max="8" width="13.84375" bestFit="1" customWidth="1"/>
    <col min="9" max="9" width="11.07421875" bestFit="1" customWidth="1"/>
    <col min="10" max="10" width="13.53515625" customWidth="1"/>
    <col min="11" max="14" width="11.07421875" customWidth="1"/>
    <col min="15" max="15" width="10.84375" customWidth="1"/>
    <col min="16" max="18" width="11.07421875" customWidth="1"/>
    <col min="19" max="19" width="11.15234375" bestFit="1" customWidth="1"/>
    <col min="21" max="21" width="43.15234375" customWidth="1"/>
    <col min="22" max="23" width="8.84375" style="753"/>
    <col min="24" max="24" width="4.15234375" style="753" customWidth="1"/>
    <col min="25" max="25" width="53.4609375" style="753" customWidth="1"/>
    <col min="26" max="26" width="91" style="753" bestFit="1" customWidth="1"/>
    <col min="27" max="29" width="8.843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Jun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4180</v>
      </c>
      <c r="O10" s="1657">
        <f>'D - Welsh NHS Assumptions'!E25</f>
        <v>2075</v>
      </c>
      <c r="P10" s="1657">
        <f>'B - Monthly Positions'!Q15-SUM(P13:P47)</f>
        <v>189999.26853396173</v>
      </c>
      <c r="Q10" s="1657">
        <f>'D - Welsh NHS Assumptions'!E24</f>
        <v>0</v>
      </c>
      <c r="R10" s="1657">
        <f>'D - Welsh NHS Assumptions'!E23</f>
        <v>190</v>
      </c>
      <c r="S10" s="1657">
        <v>0</v>
      </c>
      <c r="T10" s="1658">
        <f>SUM(C10:S10)</f>
        <v>222574.26853396173</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c r="Q13" s="1657"/>
      <c r="R13" s="1657"/>
      <c r="S13" s="1657"/>
      <c r="T13" s="1661">
        <f t="shared" ref="T13:T47" si="0">SUM(C13:S13)</f>
        <v>0</v>
      </c>
      <c r="U13" s="1662" t="s">
        <v>1471</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t="s">
        <v>1471</v>
      </c>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1472</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1471</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v>122</v>
      </c>
      <c r="Q19" s="1"/>
      <c r="R19" s="1"/>
      <c r="S19" s="1"/>
      <c r="T19" s="1664">
        <f t="shared" si="0"/>
        <v>122</v>
      </c>
      <c r="U19" s="1665" t="s">
        <v>1471</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t="s">
        <v>1471</v>
      </c>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13595.196</v>
      </c>
      <c r="Q22" s="2547"/>
      <c r="R22" s="2547"/>
      <c r="S22" s="2547"/>
      <c r="T22" s="1664">
        <f t="shared" si="0"/>
        <v>13595.196</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1484</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1469</v>
      </c>
      <c r="C25" s="1"/>
      <c r="D25" s="1"/>
      <c r="E25" s="1"/>
      <c r="F25" s="1"/>
      <c r="G25" s="1"/>
      <c r="H25" s="1"/>
      <c r="I25" s="1"/>
      <c r="J25" s="1"/>
      <c r="K25" s="1"/>
      <c r="L25" s="1"/>
      <c r="M25" s="1"/>
      <c r="N25" s="1"/>
      <c r="O25" s="1"/>
      <c r="P25" s="1">
        <v>332</v>
      </c>
      <c r="Q25" s="1"/>
      <c r="R25" s="1"/>
      <c r="S25" s="1"/>
      <c r="T25" s="1664">
        <f t="shared" si="0"/>
        <v>332</v>
      </c>
      <c r="U25" s="1665" t="s">
        <v>1459</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1470</v>
      </c>
      <c r="C26" s="1"/>
      <c r="D26" s="1"/>
      <c r="E26" s="1"/>
      <c r="F26" s="1"/>
      <c r="G26" s="1"/>
      <c r="H26" s="1"/>
      <c r="I26" s="1"/>
      <c r="J26" s="1"/>
      <c r="K26" s="1"/>
      <c r="L26" s="1"/>
      <c r="M26" s="1"/>
      <c r="N26" s="1"/>
      <c r="O26" s="1"/>
      <c r="P26" s="1">
        <v>1891</v>
      </c>
      <c r="Q26" s="1"/>
      <c r="R26" s="1"/>
      <c r="S26" s="1"/>
      <c r="T26" s="1664">
        <f t="shared" si="0"/>
        <v>1891</v>
      </c>
      <c r="U26" s="1665" t="s">
        <v>1468</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1465</v>
      </c>
      <c r="C27" s="1"/>
      <c r="D27" s="1"/>
      <c r="E27" s="1"/>
      <c r="F27" s="1"/>
      <c r="G27" s="1"/>
      <c r="H27" s="1"/>
      <c r="I27" s="1"/>
      <c r="J27" s="1"/>
      <c r="K27" s="1"/>
      <c r="L27" s="1"/>
      <c r="M27" s="1"/>
      <c r="N27" s="1"/>
      <c r="O27" s="1"/>
      <c r="P27" s="1" t="s">
        <v>1466</v>
      </c>
      <c r="Q27" s="1"/>
      <c r="R27" s="1"/>
      <c r="S27" s="1"/>
      <c r="T27" s="1664">
        <f t="shared" si="0"/>
        <v>0</v>
      </c>
      <c r="U27" s="1665" t="s">
        <v>1467</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t="s">
        <v>1473</v>
      </c>
      <c r="C28" s="1"/>
      <c r="D28" s="1"/>
      <c r="E28" s="1"/>
      <c r="F28" s="1"/>
      <c r="G28" s="1"/>
      <c r="H28" s="1"/>
      <c r="I28" s="1"/>
      <c r="J28" s="1"/>
      <c r="K28" s="1"/>
      <c r="L28" s="1"/>
      <c r="M28" s="1"/>
      <c r="N28" s="1"/>
      <c r="O28" s="1"/>
      <c r="P28" s="1">
        <v>979</v>
      </c>
      <c r="Q28" s="1"/>
      <c r="R28" s="1"/>
      <c r="S28" s="1"/>
      <c r="T28" s="1664">
        <f t="shared" si="0"/>
        <v>979</v>
      </c>
      <c r="U28" s="1665" t="s">
        <v>1483</v>
      </c>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t="s">
        <v>1474</v>
      </c>
      <c r="C29" s="1"/>
      <c r="D29" s="1"/>
      <c r="E29" s="1"/>
      <c r="F29" s="1"/>
      <c r="G29" s="1"/>
      <c r="H29" s="1"/>
      <c r="I29" s="1"/>
      <c r="J29" s="1"/>
      <c r="K29" s="1"/>
      <c r="L29" s="1"/>
      <c r="M29" s="1"/>
      <c r="N29" s="1"/>
      <c r="O29" s="1"/>
      <c r="P29" s="1">
        <v>500</v>
      </c>
      <c r="Q29" s="1"/>
      <c r="R29" s="1"/>
      <c r="S29" s="1"/>
      <c r="T29" s="1664">
        <f t="shared" si="0"/>
        <v>500</v>
      </c>
      <c r="U29" s="1665" t="s">
        <v>1483</v>
      </c>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4180</v>
      </c>
      <c r="O48" s="199">
        <f t="shared" si="5"/>
        <v>2075</v>
      </c>
      <c r="P48" s="199">
        <f t="shared" si="5"/>
        <v>207660.46453396173</v>
      </c>
      <c r="Q48" s="199">
        <f t="shared" si="5"/>
        <v>0</v>
      </c>
      <c r="R48" s="199">
        <f t="shared" si="5"/>
        <v>190</v>
      </c>
      <c r="S48" s="199">
        <f t="shared" si="5"/>
        <v>0</v>
      </c>
      <c r="T48" s="199">
        <f t="shared" si="5"/>
        <v>240235.46453396173</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thickBot="1">
      <c r="A53" s="344">
        <f>A48+1</f>
        <v>38</v>
      </c>
      <c r="B53" s="1730" t="s">
        <v>1414</v>
      </c>
      <c r="C53" s="24">
        <v>1753.7919999999999</v>
      </c>
      <c r="D53" s="2525">
        <v>12254.829</v>
      </c>
      <c r="E53" s="2536">
        <f>C53+D53</f>
        <v>14008.620999999999</v>
      </c>
      <c r="F53" s="2539"/>
      <c r="G53" s="2540" t="s">
        <v>1482</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149.63300000000001</v>
      </c>
      <c r="D54" s="2526">
        <v>1340.367</v>
      </c>
      <c r="E54" s="2537">
        <f t="shared" ref="E54:E82" si="6">C54+D54</f>
        <v>1490</v>
      </c>
      <c r="F54" s="2542"/>
      <c r="G54" s="2540" t="s">
        <v>1482</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1903.425</v>
      </c>
      <c r="D83" s="2527">
        <f t="shared" si="9"/>
        <v>13595.196</v>
      </c>
      <c r="E83" s="117">
        <f>SUM(E53:E82)</f>
        <v>15498.620999999999</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6" priority="1" stopIfTrue="1" operator="equal">
      <formula>"This Table is currently showing 0 errors"</formula>
    </cfRule>
  </conditionalFormatting>
  <conditionalFormatting sqref="Z3:Z4">
    <cfRule type="cellIs" dxfId="45"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pageSetUpPr fitToPage="1"/>
  </sheetPr>
  <dimension ref="A1:BK327"/>
  <sheetViews>
    <sheetView zoomScale="80" zoomScaleNormal="80" workbookViewId="0">
      <selection activeCell="D78" sqref="D78"/>
    </sheetView>
  </sheetViews>
  <sheetFormatPr defaultColWidth="8.84375" defaultRowHeight="15.5"/>
  <cols>
    <col min="1" max="1" width="3" customWidth="1"/>
    <col min="2" max="2" width="66" bestFit="1" customWidth="1"/>
    <col min="3" max="3" width="22.15234375" customWidth="1"/>
    <col min="4" max="4" width="20.84375" customWidth="1"/>
    <col min="5" max="5" width="24.15234375" style="753" customWidth="1"/>
    <col min="6" max="7" width="8.84375" style="753"/>
    <col min="8" max="8" width="52.53515625" customWidth="1"/>
    <col min="9" max="9" width="68.84375" customWidth="1"/>
  </cols>
  <sheetData>
    <row r="1" spans="1:63" ht="36" customHeight="1">
      <c r="A1" s="149" t="str">
        <f>+Summary!A1</f>
        <v>Public Health Wales Trust</v>
      </c>
      <c r="B1" s="71"/>
      <c r="C1" s="359" t="s">
        <v>51</v>
      </c>
      <c r="D1" s="360" t="str">
        <f>+Summary!H1</f>
        <v>Jun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7936</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Jun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33775</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869</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34644</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2214</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41189</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15676</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59079</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93723</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47510</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6008</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55718</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38005</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6274</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8202</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29803</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860</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3978</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29803</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Jun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1475</v>
      </c>
      <c r="C55" s="42">
        <v>4781</v>
      </c>
      <c r="D55" s="42">
        <v>4891.45</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1476</v>
      </c>
      <c r="C56" s="27">
        <v>972</v>
      </c>
      <c r="D56" s="27">
        <v>972.35977000000003</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1477</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1478</v>
      </c>
      <c r="C58" s="27">
        <v>92</v>
      </c>
      <c r="D58" s="27">
        <v>403.59388000000013</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1479</v>
      </c>
      <c r="C59" s="27">
        <v>1586</v>
      </c>
      <c r="D59" s="27">
        <v>1495.1606900000011</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1480</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1481</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7935.2784100000008</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971</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48</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10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5</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v>47505</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843</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v>14833</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4" priority="5" stopIfTrue="1" operator="equal">
      <formula>"This Table is currently showing 0 errors"</formula>
    </cfRule>
  </conditionalFormatting>
  <conditionalFormatting sqref="I3:I5">
    <cfRule type="cellIs" dxfId="43" priority="2" stopIfTrue="1" operator="equal">
      <formula>"OK"</formula>
    </cfRule>
  </conditionalFormatting>
  <conditionalFormatting sqref="I6:I17">
    <cfRule type="cellIs" dxfId="42" priority="3" stopIfTrue="1" operator="equal">
      <formula>"OK"</formula>
    </cfRule>
  </conditionalFormatting>
  <conditionalFormatting sqref="I18:I20">
    <cfRule type="cellIs" dxfId="41"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4" activePane="bottomRight" state="frozen"/>
      <selection activeCell="A3" sqref="A3"/>
      <selection pane="topRight" activeCell="C3" sqref="C3"/>
      <selection pane="bottomLeft" activeCell="A11" sqref="A11"/>
      <selection pane="bottomRight" activeCell="C32" sqref="C32"/>
    </sheetView>
  </sheetViews>
  <sheetFormatPr defaultColWidth="8.84375" defaultRowHeight="15.5"/>
  <cols>
    <col min="1" max="1" width="4.15234375" customWidth="1"/>
    <col min="2" max="2" width="69" customWidth="1"/>
    <col min="3" max="3" width="12" customWidth="1"/>
    <col min="4" max="4" width="13.15234375" customWidth="1"/>
    <col min="5" max="14" width="12.15234375" customWidth="1"/>
    <col min="15" max="15" width="13.84375" style="753" customWidth="1"/>
    <col min="16" max="16" width="5.84375" style="753" customWidth="1"/>
    <col min="17" max="17" width="32.4609375" customWidth="1"/>
    <col min="18" max="18" width="95.84375" customWidth="1"/>
  </cols>
  <sheetData>
    <row r="1" spans="1:44" ht="30">
      <c r="A1" s="79" t="str">
        <f>+Summary!A1</f>
        <v>Public Health Wales Trust</v>
      </c>
      <c r="B1" s="70"/>
      <c r="C1" s="70"/>
      <c r="D1" s="70"/>
      <c r="E1" s="70"/>
      <c r="F1" s="70"/>
      <c r="G1" s="70"/>
      <c r="H1" s="70"/>
      <c r="I1" s="70"/>
      <c r="J1" s="71"/>
      <c r="K1" s="71"/>
      <c r="L1" s="70"/>
      <c r="M1" s="150" t="s">
        <v>460</v>
      </c>
      <c r="N1" s="72" t="str">
        <f>+Summary!H1</f>
        <v>Jun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17723.946</v>
      </c>
      <c r="G13" s="3">
        <f>F13</f>
        <v>17723.946</v>
      </c>
      <c r="H13" s="3">
        <f t="shared" ref="H13:N13" si="2">G13</f>
        <v>17723.946</v>
      </c>
      <c r="I13" s="3">
        <f t="shared" si="2"/>
        <v>17723.946</v>
      </c>
      <c r="J13" s="3">
        <f t="shared" si="2"/>
        <v>17723.946</v>
      </c>
      <c r="K13" s="3">
        <f t="shared" si="2"/>
        <v>17723.946</v>
      </c>
      <c r="L13" s="3">
        <f t="shared" si="2"/>
        <v>17723.946</v>
      </c>
      <c r="M13" s="3">
        <f t="shared" si="2"/>
        <v>17723.946</v>
      </c>
      <c r="N13" s="3">
        <f t="shared" si="2"/>
        <v>17723.946</v>
      </c>
      <c r="O13" s="167">
        <f t="shared" si="0"/>
        <v>208475.16816999996</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1892.567</v>
      </c>
      <c r="G15" s="3">
        <f>F15</f>
        <v>1892.567</v>
      </c>
      <c r="H15" s="3">
        <f t="shared" ref="H15:N15" si="3">G15</f>
        <v>1892.567</v>
      </c>
      <c r="I15" s="3">
        <f t="shared" si="3"/>
        <v>1892.567</v>
      </c>
      <c r="J15" s="3">
        <f t="shared" si="3"/>
        <v>1892.567</v>
      </c>
      <c r="K15" s="3">
        <f t="shared" si="3"/>
        <v>1892.567</v>
      </c>
      <c r="L15" s="3">
        <f t="shared" si="3"/>
        <v>1892.567</v>
      </c>
      <c r="M15" s="3">
        <f t="shared" si="3"/>
        <v>1892.567</v>
      </c>
      <c r="N15" s="3">
        <f t="shared" si="3"/>
        <v>1892.567</v>
      </c>
      <c r="O15" s="167">
        <f>SUM(C15:N15)</f>
        <v>25013.387339999994</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c r="G18" s="3"/>
      <c r="H18" s="3"/>
      <c r="I18" s="3"/>
      <c r="J18" s="3"/>
      <c r="K18" s="3"/>
      <c r="L18" s="3"/>
      <c r="M18" s="3"/>
      <c r="N18" s="3"/>
      <c r="O18" s="167">
        <f>SUM(C18:N18)</f>
        <v>195.28300000000002</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v>150.07599999999999</v>
      </c>
      <c r="G20" s="3">
        <f>F20</f>
        <v>150.07599999999999</v>
      </c>
      <c r="H20" s="3">
        <f>G20</f>
        <v>150.07599999999999</v>
      </c>
      <c r="I20" s="3">
        <f t="shared" ref="I20:M20" si="4">H20</f>
        <v>150.07599999999999</v>
      </c>
      <c r="J20" s="3">
        <f t="shared" si="4"/>
        <v>150.07599999999999</v>
      </c>
      <c r="K20" s="3">
        <f t="shared" si="4"/>
        <v>150.07599999999999</v>
      </c>
      <c r="L20" s="3">
        <f t="shared" si="4"/>
        <v>150.07599999999999</v>
      </c>
      <c r="M20" s="3">
        <f t="shared" si="4"/>
        <v>150.07599999999999</v>
      </c>
      <c r="N20" s="3">
        <v>281.93799999999999</v>
      </c>
      <c r="O20" s="167">
        <f t="shared" si="0"/>
        <v>3334.6863300000005</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5">SUM(C11:C20)</f>
        <v>18934.251639999999</v>
      </c>
      <c r="D21" s="169">
        <f t="shared" si="5"/>
        <v>21131.838199999998</v>
      </c>
      <c r="E21" s="169">
        <f t="shared" si="5"/>
        <v>18921.271999999997</v>
      </c>
      <c r="F21" s="169">
        <f t="shared" si="5"/>
        <v>19766.589</v>
      </c>
      <c r="G21" s="169">
        <f t="shared" si="5"/>
        <v>19766.589</v>
      </c>
      <c r="H21" s="169">
        <f t="shared" si="5"/>
        <v>19766.589</v>
      </c>
      <c r="I21" s="169">
        <f t="shared" si="5"/>
        <v>19766.589</v>
      </c>
      <c r="J21" s="169">
        <f t="shared" si="5"/>
        <v>19766.589</v>
      </c>
      <c r="K21" s="169">
        <f t="shared" si="5"/>
        <v>19766.589</v>
      </c>
      <c r="L21" s="169">
        <f t="shared" si="5"/>
        <v>19766.589</v>
      </c>
      <c r="M21" s="169">
        <f t="shared" si="5"/>
        <v>19766.589</v>
      </c>
      <c r="N21" s="169">
        <f t="shared" si="5"/>
        <v>19898.450999999997</v>
      </c>
      <c r="O21" s="169">
        <f t="shared" si="5"/>
        <v>237018.52483999994</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6">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6"/>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7">A24+1</f>
        <v>14</v>
      </c>
      <c r="B25" s="156" t="s">
        <v>158</v>
      </c>
      <c r="C25" s="4"/>
      <c r="D25" s="4"/>
      <c r="E25" s="4"/>
      <c r="F25" s="4"/>
      <c r="G25" s="4"/>
      <c r="H25" s="4"/>
      <c r="I25" s="4"/>
      <c r="J25" s="4"/>
      <c r="K25" s="4"/>
      <c r="L25" s="4"/>
      <c r="M25" s="4"/>
      <c r="N25" s="4"/>
      <c r="O25" s="723">
        <f t="shared" si="6"/>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7"/>
        <v>15</v>
      </c>
      <c r="B26" s="156" t="s">
        <v>159</v>
      </c>
      <c r="C26" s="4"/>
      <c r="D26" s="4"/>
      <c r="E26" s="4"/>
      <c r="F26" s="4"/>
      <c r="G26" s="4"/>
      <c r="H26" s="4"/>
      <c r="I26" s="4"/>
      <c r="J26" s="4"/>
      <c r="K26" s="4"/>
      <c r="L26" s="4"/>
      <c r="M26" s="4"/>
      <c r="N26" s="4"/>
      <c r="O26" s="723">
        <f t="shared" si="6"/>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7"/>
        <v>16</v>
      </c>
      <c r="B27" s="156" t="s">
        <v>430</v>
      </c>
      <c r="C27" s="4"/>
      <c r="D27" s="4"/>
      <c r="E27" s="4"/>
      <c r="F27" s="4"/>
      <c r="G27" s="4"/>
      <c r="H27" s="4"/>
      <c r="I27" s="4"/>
      <c r="J27" s="4"/>
      <c r="K27" s="4"/>
      <c r="L27" s="4"/>
      <c r="M27" s="4"/>
      <c r="N27" s="4"/>
      <c r="O27" s="723">
        <f t="shared" si="6"/>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7"/>
        <v>17</v>
      </c>
      <c r="B28" s="156" t="s">
        <v>301</v>
      </c>
      <c r="C28" s="4">
        <f>10580251.6/1000</f>
        <v>10580.2516</v>
      </c>
      <c r="D28" s="4">
        <f>10711000.9/1000</f>
        <v>10711.000900000001</v>
      </c>
      <c r="E28" s="4">
        <v>12275.111000000001</v>
      </c>
      <c r="F28" s="4">
        <v>11085.745999999999</v>
      </c>
      <c r="G28" s="4">
        <f>F28</f>
        <v>11085.745999999999</v>
      </c>
      <c r="H28" s="4">
        <f t="shared" ref="H28:M28" si="8">G28</f>
        <v>11085.745999999999</v>
      </c>
      <c r="I28" s="4">
        <f t="shared" si="8"/>
        <v>11085.745999999999</v>
      </c>
      <c r="J28" s="4">
        <f t="shared" si="8"/>
        <v>11085.745999999999</v>
      </c>
      <c r="K28" s="4">
        <f t="shared" si="8"/>
        <v>11085.745999999999</v>
      </c>
      <c r="L28" s="4">
        <f t="shared" si="8"/>
        <v>11085.745999999999</v>
      </c>
      <c r="M28" s="4">
        <f t="shared" si="8"/>
        <v>11085.745999999999</v>
      </c>
      <c r="N28" s="4">
        <f>M28+1767</f>
        <v>12852.745999999999</v>
      </c>
      <c r="O28" s="723">
        <f t="shared" si="6"/>
        <v>135105.07750000001</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7"/>
        <v>18</v>
      </c>
      <c r="B29" s="156" t="s">
        <v>302</v>
      </c>
      <c r="C29" s="4">
        <f>11879457.74/1000</f>
        <v>11879.45774</v>
      </c>
      <c r="D29" s="4">
        <f>7378714.47/1000</f>
        <v>7378.7144699999999</v>
      </c>
      <c r="E29" s="4">
        <v>5829.0730000000003</v>
      </c>
      <c r="F29" s="4">
        <v>8005.558</v>
      </c>
      <c r="G29" s="4">
        <f>F29</f>
        <v>8005.558</v>
      </c>
      <c r="H29" s="4">
        <f t="shared" ref="H29:N29" si="9">G29</f>
        <v>8005.558</v>
      </c>
      <c r="I29" s="4">
        <f t="shared" si="9"/>
        <v>8005.558</v>
      </c>
      <c r="J29" s="4">
        <f t="shared" si="9"/>
        <v>8005.558</v>
      </c>
      <c r="K29" s="4">
        <f t="shared" si="9"/>
        <v>8005.558</v>
      </c>
      <c r="L29" s="4">
        <f t="shared" si="9"/>
        <v>8005.558</v>
      </c>
      <c r="M29" s="4">
        <f t="shared" si="9"/>
        <v>8005.558</v>
      </c>
      <c r="N29" s="4">
        <f t="shared" si="9"/>
        <v>8005.558</v>
      </c>
      <c r="O29" s="723">
        <f t="shared" si="6"/>
        <v>97137.267210000005</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7"/>
        <v>19</v>
      </c>
      <c r="B30" s="173" t="s">
        <v>883</v>
      </c>
      <c r="C30" s="4"/>
      <c r="D30" s="4"/>
      <c r="E30" s="4"/>
      <c r="F30" s="4"/>
      <c r="G30" s="4"/>
      <c r="H30" s="4"/>
      <c r="I30" s="4"/>
      <c r="J30" s="3"/>
      <c r="K30" s="3"/>
      <c r="L30" s="3"/>
      <c r="M30" s="3"/>
      <c r="N30" s="3"/>
      <c r="O30" s="167">
        <f t="shared" si="6"/>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7"/>
        <v>20</v>
      </c>
      <c r="B31" s="173" t="s">
        <v>884</v>
      </c>
      <c r="C31" s="4"/>
      <c r="D31" s="4"/>
      <c r="E31" s="4"/>
      <c r="F31" s="4"/>
      <c r="G31" s="4"/>
      <c r="H31" s="4"/>
      <c r="I31" s="4"/>
      <c r="J31" s="3"/>
      <c r="K31" s="3"/>
      <c r="L31" s="3"/>
      <c r="M31" s="3"/>
      <c r="N31" s="3">
        <v>2969</v>
      </c>
      <c r="O31" s="167">
        <f t="shared" si="6"/>
        <v>2969</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7"/>
        <v>21</v>
      </c>
      <c r="B32" s="173" t="s">
        <v>153</v>
      </c>
      <c r="C32" s="4">
        <v>218.57300000000001</v>
      </c>
      <c r="D32" s="4">
        <f>'J - Capital In Year Schemes'!G78</f>
        <v>4.3491500000000007</v>
      </c>
      <c r="E32" s="4">
        <v>3.698</v>
      </c>
      <c r="F32" s="4">
        <f>'J - Capital In Year Schemes'!I78</f>
        <v>3.1749999999999998</v>
      </c>
      <c r="G32" s="4">
        <f>'J - Capital In Year Schemes'!J78</f>
        <v>114.97499999999999</v>
      </c>
      <c r="H32" s="4">
        <f>'J - Capital In Year Schemes'!K78</f>
        <v>117</v>
      </c>
      <c r="I32" s="4">
        <f>'J - Capital In Year Schemes'!L78-215</f>
        <v>46</v>
      </c>
      <c r="J32" s="4">
        <f>'J - Capital In Year Schemes'!M78</f>
        <v>327</v>
      </c>
      <c r="K32" s="4">
        <f>'J - Capital In Year Schemes'!N78</f>
        <v>328</v>
      </c>
      <c r="L32" s="4">
        <f>'J - Capital In Year Schemes'!O78</f>
        <v>214</v>
      </c>
      <c r="M32" s="4">
        <f>'J - Capital In Year Schemes'!P78</f>
        <v>214</v>
      </c>
      <c r="N32" s="4">
        <f>'J - Capital In Year Schemes'!Q78</f>
        <v>216.9</v>
      </c>
      <c r="O32" s="723">
        <f t="shared" si="6"/>
        <v>1807.6701500000001</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7"/>
        <v>22</v>
      </c>
      <c r="B33" s="182" t="s">
        <v>394</v>
      </c>
      <c r="C33" s="2"/>
      <c r="D33" s="2"/>
      <c r="E33" s="2"/>
      <c r="F33" s="2"/>
      <c r="G33" s="2"/>
      <c r="H33" s="2"/>
      <c r="I33" s="2"/>
      <c r="J33" s="2"/>
      <c r="K33" s="2"/>
      <c r="L33" s="2"/>
      <c r="M33" s="2"/>
      <c r="N33" s="2"/>
      <c r="O33" s="987">
        <f t="shared" si="6"/>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7"/>
        <v>23</v>
      </c>
      <c r="B34" s="184" t="s">
        <v>145</v>
      </c>
      <c r="C34" s="169">
        <f t="shared" ref="C34:O34" si="10">SUM(C23:C33)</f>
        <v>22678.282340000002</v>
      </c>
      <c r="D34" s="169">
        <f t="shared" si="10"/>
        <v>18094.06452</v>
      </c>
      <c r="E34" s="169">
        <f t="shared" si="10"/>
        <v>18107.882000000001</v>
      </c>
      <c r="F34" s="169">
        <f t="shared" si="10"/>
        <v>19094.478999999999</v>
      </c>
      <c r="G34" s="169">
        <f t="shared" si="10"/>
        <v>19206.278999999999</v>
      </c>
      <c r="H34" s="169">
        <f t="shared" si="10"/>
        <v>19208.304</v>
      </c>
      <c r="I34" s="169">
        <f t="shared" si="10"/>
        <v>19137.304</v>
      </c>
      <c r="J34" s="169">
        <f t="shared" si="10"/>
        <v>19418.304</v>
      </c>
      <c r="K34" s="169">
        <f t="shared" si="10"/>
        <v>19419.304</v>
      </c>
      <c r="L34" s="169">
        <f t="shared" si="10"/>
        <v>19305.304</v>
      </c>
      <c r="M34" s="169">
        <f t="shared" si="10"/>
        <v>19305.304</v>
      </c>
      <c r="N34" s="169">
        <f t="shared" si="10"/>
        <v>24044.204000000002</v>
      </c>
      <c r="O34" s="169">
        <f t="shared" si="10"/>
        <v>237019.01486000002</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1">IF(E39=E40,1,0)</f>
        <v>1</v>
      </c>
      <c r="F35" s="859">
        <f t="shared" si="11"/>
        <v>0</v>
      </c>
      <c r="G35" s="859">
        <f t="shared" si="11"/>
        <v>0</v>
      </c>
      <c r="H35" s="859">
        <f t="shared" si="11"/>
        <v>0</v>
      </c>
      <c r="I35" s="859">
        <f t="shared" si="11"/>
        <v>0</v>
      </c>
      <c r="J35" s="859">
        <f t="shared" si="11"/>
        <v>0</v>
      </c>
      <c r="K35" s="859">
        <f t="shared" si="11"/>
        <v>0</v>
      </c>
      <c r="L35" s="859">
        <f t="shared" si="11"/>
        <v>0</v>
      </c>
      <c r="M35" s="859">
        <f t="shared" si="11"/>
        <v>0</v>
      </c>
      <c r="N35" s="859">
        <f t="shared" si="11"/>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2">IF(C21="","",SUM(C21-C34))</f>
        <v>-3744.030700000003</v>
      </c>
      <c r="D36" s="167">
        <f t="shared" si="12"/>
        <v>3037.7736799999984</v>
      </c>
      <c r="E36" s="167">
        <f t="shared" si="12"/>
        <v>813.38999999999578</v>
      </c>
      <c r="F36" s="167">
        <f t="shared" si="12"/>
        <v>672.11000000000058</v>
      </c>
      <c r="G36" s="167">
        <f t="shared" si="12"/>
        <v>560.31000000000131</v>
      </c>
      <c r="H36" s="167">
        <f t="shared" si="12"/>
        <v>558.28499999999985</v>
      </c>
      <c r="I36" s="167">
        <f t="shared" si="12"/>
        <v>629.28499999999985</v>
      </c>
      <c r="J36" s="167">
        <f t="shared" si="12"/>
        <v>348.28499999999985</v>
      </c>
      <c r="K36" s="167">
        <f t="shared" si="12"/>
        <v>347.28499999999985</v>
      </c>
      <c r="L36" s="167">
        <f t="shared" si="12"/>
        <v>461.28499999999985</v>
      </c>
      <c r="M36" s="167">
        <f t="shared" si="12"/>
        <v>461.28499999999985</v>
      </c>
      <c r="N36" s="167">
        <f t="shared" si="12"/>
        <v>-4145.7530000000042</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3">C38</f>
        <v>11824.969299999997</v>
      </c>
      <c r="E37" s="168">
        <f t="shared" si="13"/>
        <v>14862.742979999995</v>
      </c>
      <c r="F37" s="168">
        <f t="shared" si="13"/>
        <v>15676.132979999991</v>
      </c>
      <c r="G37" s="168">
        <f t="shared" si="13"/>
        <v>16348.242979999992</v>
      </c>
      <c r="H37" s="168">
        <f t="shared" si="13"/>
        <v>16908.552979999993</v>
      </c>
      <c r="I37" s="168">
        <f t="shared" si="13"/>
        <v>17466.837979999993</v>
      </c>
      <c r="J37" s="168">
        <f t="shared" si="13"/>
        <v>18096.122979999993</v>
      </c>
      <c r="K37" s="168">
        <f>J38</f>
        <v>18444.407979999993</v>
      </c>
      <c r="L37" s="168">
        <f>K38</f>
        <v>18791.692979999993</v>
      </c>
      <c r="M37" s="168">
        <f>L38</f>
        <v>19252.977979999992</v>
      </c>
      <c r="N37" s="168">
        <f>M38</f>
        <v>19714.262979999992</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4">IF(E36="","",SUM(E36+E37))</f>
        <v>15676.132979999991</v>
      </c>
      <c r="F38" s="167">
        <f t="shared" si="14"/>
        <v>16348.242979999992</v>
      </c>
      <c r="G38" s="167">
        <f t="shared" si="14"/>
        <v>16908.552979999993</v>
      </c>
      <c r="H38" s="167">
        <f t="shared" si="14"/>
        <v>17466.837979999993</v>
      </c>
      <c r="I38" s="167">
        <f t="shared" si="14"/>
        <v>18096.122979999993</v>
      </c>
      <c r="J38" s="167">
        <f t="shared" si="14"/>
        <v>18444.407979999993</v>
      </c>
      <c r="K38" s="167">
        <f t="shared" si="14"/>
        <v>18791.692979999993</v>
      </c>
      <c r="L38" s="167">
        <f t="shared" si="14"/>
        <v>19252.977979999992</v>
      </c>
      <c r="M38" s="167">
        <f t="shared" si="14"/>
        <v>19714.262979999992</v>
      </c>
      <c r="N38" s="167">
        <f t="shared" si="14"/>
        <v>15568.509979999988</v>
      </c>
      <c r="O38" s="330" t="str">
        <f t="shared" si="14"/>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3</v>
      </c>
      <c r="D40" s="850">
        <f>+'B - Monthly Positions'!$C$5</f>
        <v>3</v>
      </c>
      <c r="E40" s="850">
        <f>+'B - Monthly Positions'!$C$5</f>
        <v>3</v>
      </c>
      <c r="F40" s="850">
        <f>+'B - Monthly Positions'!$C$5</f>
        <v>3</v>
      </c>
      <c r="G40" s="850">
        <f>+'B - Monthly Positions'!$C$5</f>
        <v>3</v>
      </c>
      <c r="H40" s="850">
        <f>+'B - Monthly Positions'!$C$5</f>
        <v>3</v>
      </c>
      <c r="I40" s="850">
        <f>+'B - Monthly Positions'!$C$5</f>
        <v>3</v>
      </c>
      <c r="J40" s="850">
        <f>+'B - Monthly Positions'!$C$5</f>
        <v>3</v>
      </c>
      <c r="K40" s="850">
        <f>+'B - Monthly Positions'!$C$5</f>
        <v>3</v>
      </c>
      <c r="L40" s="850">
        <f>+'B - Monthly Positions'!$C$5</f>
        <v>3</v>
      </c>
      <c r="M40" s="850">
        <f>+'B - Monthly Positions'!$C$5</f>
        <v>3</v>
      </c>
      <c r="N40" s="850">
        <f>+'B - Monthly Positions'!$C$5</f>
        <v>3</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N8" sqref="N8"/>
    </sheetView>
  </sheetViews>
  <sheetFormatPr defaultColWidth="8.84375" defaultRowHeight="15.5"/>
  <cols>
    <col min="1" max="1" width="4.84375" customWidth="1"/>
    <col min="2" max="2" width="60.8437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Jun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c r="G8" s="958">
        <f>+F8-$C8</f>
        <v>-0.95</v>
      </c>
      <c r="H8" s="957"/>
      <c r="I8" s="958">
        <f>+H8-$C8</f>
        <v>-0.95</v>
      </c>
      <c r="J8" s="957"/>
      <c r="K8" s="958">
        <f>+J8-$C8</f>
        <v>-0.95</v>
      </c>
      <c r="L8" s="957">
        <f>D8</f>
        <v>0.99770000000000003</v>
      </c>
      <c r="M8" s="958">
        <f>+L8-$C8</f>
        <v>4.7700000000000076E-2</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c r="G9" s="958">
        <f t="shared" si="0"/>
        <v>-0.95</v>
      </c>
      <c r="H9" s="957"/>
      <c r="I9" s="958">
        <f>+H9-$C9</f>
        <v>-0.95</v>
      </c>
      <c r="J9" s="957"/>
      <c r="K9" s="958">
        <f>+J9-$C9</f>
        <v>-0.95</v>
      </c>
      <c r="L9" s="957">
        <f t="shared" ref="L9:L11" si="1">D9</f>
        <v>0.98819999999999997</v>
      </c>
      <c r="M9" s="958">
        <f>+L9-$C9</f>
        <v>3.8200000000000012E-2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c r="G10" s="958">
        <f t="shared" si="0"/>
        <v>-0.95</v>
      </c>
      <c r="H10" s="957"/>
      <c r="I10" s="958">
        <f>+H10-$C10</f>
        <v>-0.95</v>
      </c>
      <c r="J10" s="957"/>
      <c r="K10" s="958">
        <f>+J10-$C10</f>
        <v>-0.95</v>
      </c>
      <c r="L10" s="957">
        <f t="shared" si="1"/>
        <v>0.94730000000000003</v>
      </c>
      <c r="M10" s="958">
        <f>+L10-$C10</f>
        <v>-2.6999999999999247E-3</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c r="G11" s="958">
        <f t="shared" si="0"/>
        <v>-0.95</v>
      </c>
      <c r="H11" s="957"/>
      <c r="I11" s="958">
        <f>+H11-$C11</f>
        <v>-0.95</v>
      </c>
      <c r="J11" s="957"/>
      <c r="K11" s="958">
        <f>+J11-$C11</f>
        <v>-0.95</v>
      </c>
      <c r="L11" s="957">
        <f t="shared" si="1"/>
        <v>0.96909999999999996</v>
      </c>
      <c r="M11" s="958">
        <f>+L11-$C11</f>
        <v>1.9100000000000006E-2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c r="G18" s="959"/>
      <c r="H18" s="957"/>
      <c r="I18" s="959"/>
      <c r="J18" s="957"/>
      <c r="K18" s="959"/>
      <c r="L18" s="957">
        <f>D18</f>
        <v>0.38490000000000002</v>
      </c>
      <c r="M18" s="959"/>
      <c r="N18" s="957"/>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c r="G19" s="959"/>
      <c r="H19" s="957"/>
      <c r="I19" s="959"/>
      <c r="J19" s="957"/>
      <c r="K19" s="959"/>
      <c r="L19" s="957">
        <f t="shared" ref="L19:L21" si="2">D19</f>
        <v>0.44690000000000002</v>
      </c>
      <c r="M19" s="959"/>
      <c r="N19" s="957"/>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c r="G20" s="959"/>
      <c r="H20" s="957"/>
      <c r="I20" s="959"/>
      <c r="J20" s="957"/>
      <c r="K20" s="959"/>
      <c r="L20" s="957">
        <f t="shared" si="2"/>
        <v>0.72850000000000004</v>
      </c>
      <c r="M20" s="959"/>
      <c r="N20" s="957"/>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c r="G21" s="960"/>
      <c r="H21" s="957"/>
      <c r="I21" s="960"/>
      <c r="J21" s="957"/>
      <c r="K21" s="960"/>
      <c r="L21" s="957">
        <f t="shared" si="2"/>
        <v>0.70799999999999996</v>
      </c>
      <c r="M21" s="960"/>
      <c r="N21" s="957"/>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4375" defaultRowHeight="15.5"/>
  <cols>
    <col min="3" max="3" width="26.15234375" customWidth="1"/>
    <col min="5" max="5" width="43" customWidth="1"/>
    <col min="6" max="6" width="19.84375" customWidth="1"/>
    <col min="7" max="18" width="6.4609375" customWidth="1"/>
    <col min="19" max="19" width="5.8437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Jun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Jun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Jun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Jun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Jun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Jun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Jun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Jun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Jun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Jun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Jun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Jun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Jun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Jun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Jun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Jun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Jun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Jun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Jun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Jun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Jun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Jun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2.3000000010142685E-4</v>
      </c>
      <c r="H23" s="2895">
        <f>ORG!X32</f>
        <v>-128.49630925089446</v>
      </c>
      <c r="I23" s="2895">
        <f>ORG!Y32</f>
        <v>-608.51301292608559</v>
      </c>
      <c r="J23" s="2895">
        <f>ORG!Z32</f>
        <v>23.673596177520722</v>
      </c>
      <c r="K23" s="2895">
        <f>ORG!AA32</f>
        <v>-12.543070489145975</v>
      </c>
      <c r="L23" s="2895">
        <f>ORG!AB32</f>
        <v>-217.34867288783425</v>
      </c>
      <c r="M23" s="2895">
        <f>ORG!AC32</f>
        <v>23.13570863385462</v>
      </c>
      <c r="N23" s="2895">
        <f>ORG!AD32</f>
        <v>4.1578140053923107</v>
      </c>
      <c r="O23" s="2895">
        <f>ORG!AE32</f>
        <v>-276.99668303281192</v>
      </c>
      <c r="P23" s="2895">
        <f>ORG!AF32</f>
        <v>4.1357086338546196</v>
      </c>
      <c r="Q23" s="2895">
        <f>ORG!AG32</f>
        <v>-3.4099506230702445</v>
      </c>
      <c r="R23" s="2895">
        <f>ORG!AH32</f>
        <v>-239.17447525503394</v>
      </c>
      <c r="S23" s="2895">
        <f>ORG!O32</f>
        <v>-1431.379117014254</v>
      </c>
      <c r="U23">
        <f t="shared" si="0"/>
        <v>-1431.379117014254</v>
      </c>
    </row>
    <row r="24" spans="1:21">
      <c r="A24" s="2894" t="str">
        <f>ORG!$S$1</f>
        <v>Jun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Jun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-23.673596177520722</v>
      </c>
      <c r="K25" s="2895">
        <f>ORG!AA34</f>
        <v>12.543070489145975</v>
      </c>
      <c r="L25" s="2895">
        <f>ORG!AB34</f>
        <v>217.34867288783425</v>
      </c>
      <c r="M25" s="2895">
        <f>ORG!AC34</f>
        <v>-23.13570863385462</v>
      </c>
      <c r="N25" s="2895">
        <f>ORG!AD34</f>
        <v>-4.1578140053923107</v>
      </c>
      <c r="O25" s="2895">
        <f>ORG!AE34</f>
        <v>276.99668303281192</v>
      </c>
      <c r="P25" s="2895">
        <f>ORG!AF34</f>
        <v>-4.1357086338546196</v>
      </c>
      <c r="Q25" s="2895">
        <f>ORG!AG34</f>
        <v>3.4098539730703123</v>
      </c>
      <c r="R25" s="2895">
        <f>ORG!AH34</f>
        <v>239.17437860503401</v>
      </c>
      <c r="S25" s="2895">
        <f>ORG!O34</f>
        <v>1431.3791537142542</v>
      </c>
      <c r="U25">
        <f t="shared" si="0"/>
        <v>1431.3791537142542</v>
      </c>
    </row>
    <row r="26" spans="1:21">
      <c r="A26" s="2894" t="str">
        <f>ORG!$S$1</f>
        <v>Jun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Jun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0</v>
      </c>
      <c r="K27" s="2895">
        <f>ORG!AA36</f>
        <v>0</v>
      </c>
      <c r="L27" s="2895">
        <f>ORG!AB36</f>
        <v>0</v>
      </c>
      <c r="M27" s="2895">
        <f>ORG!AC36</f>
        <v>0</v>
      </c>
      <c r="N27" s="2895">
        <f>ORG!AD36</f>
        <v>0</v>
      </c>
      <c r="O27" s="2895">
        <f>ORG!AE36</f>
        <v>0</v>
      </c>
      <c r="P27" s="2895">
        <f>ORG!AF36</f>
        <v>0</v>
      </c>
      <c r="Q27" s="2895">
        <f>ORG!AG36</f>
        <v>0</v>
      </c>
      <c r="R27" s="2895">
        <f>ORG!AH36</f>
        <v>-63</v>
      </c>
      <c r="S27" s="2895">
        <f>ORG!O36</f>
        <v>0</v>
      </c>
      <c r="U27">
        <f t="shared" si="0"/>
        <v>0</v>
      </c>
    </row>
    <row r="28" spans="1:21">
      <c r="A28" s="2894" t="str">
        <f>ORG!$S$1</f>
        <v>Jun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Jun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Jun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Jun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Jun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Jun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Jun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Jun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Jun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Jun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Jun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Jun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Jun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Jun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50.000039999999899</v>
      </c>
      <c r="H41" s="2895">
        <f>ORG!X50</f>
        <v>2.0000000000001421</v>
      </c>
      <c r="I41" s="2895">
        <f>ORG!Y50</f>
        <v>11.000000000000114</v>
      </c>
      <c r="J41" s="2895">
        <f>ORG!Z50</f>
        <v>3.694822225952521E-13</v>
      </c>
      <c r="K41" s="2895">
        <f>ORG!AA50</f>
        <v>3.694822225952521E-13</v>
      </c>
      <c r="L41" s="2895">
        <f>ORG!AB50</f>
        <v>-8.5265128291212022E-14</v>
      </c>
      <c r="M41" s="2895">
        <f>ORG!AC50</f>
        <v>-8.5265128291212022E-14</v>
      </c>
      <c r="N41" s="2895">
        <f>ORG!AD50</f>
        <v>5.9685589803848416E-13</v>
      </c>
      <c r="O41" s="2895">
        <f>ORG!AE50</f>
        <v>1.1368683772161603E-13</v>
      </c>
      <c r="P41" s="2895">
        <f>ORG!AF50</f>
        <v>-8.5265128291212022E-14</v>
      </c>
      <c r="Q41" s="2895">
        <f>ORG!AG50</f>
        <v>-9.6649999790088259E-5</v>
      </c>
      <c r="R41" s="2895">
        <f>ORG!AH50</f>
        <v>-63.000096650000245</v>
      </c>
      <c r="S41" s="2895">
        <f>ORG!O50</f>
        <v>-1.5329998404922662E-4</v>
      </c>
      <c r="U41">
        <f t="shared" si="1"/>
        <v>-1.5329998404922662E-4</v>
      </c>
    </row>
    <row r="42" spans="1:21">
      <c r="A42" s="2894" t="str">
        <f>ORG!$S$1</f>
        <v>Jun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4.0000000012696546E-5</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-9.6649999932196806E-5</v>
      </c>
      <c r="R42" s="2895">
        <f>ORG!AH52</f>
        <v>-9.6649999932196806E-5</v>
      </c>
      <c r="S42" s="2895">
        <f>ORG!O52</f>
        <v>-1.5329999985169707E-4</v>
      </c>
      <c r="U42">
        <f t="shared" si="1"/>
        <v>-1.5329999985169707E-4</v>
      </c>
    </row>
    <row r="43" spans="1:21">
      <c r="A43" s="2894" t="str">
        <f>ORG!$S$1</f>
        <v>Jun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3.694822225952521E-13</v>
      </c>
      <c r="K43" s="2895">
        <f>ORG!AA54</f>
        <v>3.694822225952521E-13</v>
      </c>
      <c r="L43" s="2895">
        <f>ORG!AB54</f>
        <v>-8.5265128291212022E-14</v>
      </c>
      <c r="M43" s="2895">
        <f>ORG!AC54</f>
        <v>-8.5265128291212022E-14</v>
      </c>
      <c r="N43" s="2895">
        <f>ORG!AD54</f>
        <v>5.9685589803848416E-13</v>
      </c>
      <c r="O43" s="2895">
        <f>ORG!AE54</f>
        <v>1.1368683772161603E-13</v>
      </c>
      <c r="P43" s="2895">
        <f>ORG!AF54</f>
        <v>-8.5265128291212022E-14</v>
      </c>
      <c r="Q43" s="2895">
        <f>ORG!AG54</f>
        <v>1.4210854715202004E-13</v>
      </c>
      <c r="R43" s="2895">
        <f>ORG!AH54</f>
        <v>-63.000000000000313</v>
      </c>
      <c r="S43" s="2895">
        <f>ORG!O54</f>
        <v>1.5802470443304628E-11</v>
      </c>
      <c r="U43">
        <f>S43+T43</f>
        <v>1.5802470443304628E-11</v>
      </c>
    </row>
    <row r="44" spans="1:21">
      <c r="A44" s="2894" t="str">
        <f>ORG!$S$1</f>
        <v>Jun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Jun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Jun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Jun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Jun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Jun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Jun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Jun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Jun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Jun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Jun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Jun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Jun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Jun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Jun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Jun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Jun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Jun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Jun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Jun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Jun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Jun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-1431.379117014254</v>
      </c>
      <c r="U65">
        <f t="shared" si="3"/>
        <v>-1431.379117014254</v>
      </c>
    </row>
    <row r="66" spans="1:21">
      <c r="A66" s="2894" t="str">
        <f>ORG!$S$1</f>
        <v>Jun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Jun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1431.3791537142542</v>
      </c>
      <c r="U67">
        <f t="shared" si="3"/>
        <v>1431.3791537142542</v>
      </c>
    </row>
    <row r="68" spans="1:21">
      <c r="A68" s="2894" t="str">
        <f>ORG!$S$1</f>
        <v>Jun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Jun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Jun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Jun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Jun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Jun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Jun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Jun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Jun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Jun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Jun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Jun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Jun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Jun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Jun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Jun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-1.5329998404922662E-4</v>
      </c>
      <c r="U83">
        <f t="shared" si="4"/>
        <v>-1.5329998404922662E-4</v>
      </c>
    </row>
    <row r="84" spans="1:21">
      <c r="A84" s="2894" t="str">
        <f>ORG!$S$1</f>
        <v>Jun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Jun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Jun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Jun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Jun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Jun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Jun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Jun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Jun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Jun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Jun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Jun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Jun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Jun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Jun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Jun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Jun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Jun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Jun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Jun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Jun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Jun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Jun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Jun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Jun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Jun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Jun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Jun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Jun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Jun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Jun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Jun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Jun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Jun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Jun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Jun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Jun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Jun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Jun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Jun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Jun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Jun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Jun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Jun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Jun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Jun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Jun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Jun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Jun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Jun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Jun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Jun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Jun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Jun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Jun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Jun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Jun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Jun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Jun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Jun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Jun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Jun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Jun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Jun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Jun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Jun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Jun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Jun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Jun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Jun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Jun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Jun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Jun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Jun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Jun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Jun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Jun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Jun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Jun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Jun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Jun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Jun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Jun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Jun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Jun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Jun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Jun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Jun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Jun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Jun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Jun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Jun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Jun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Jun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Jun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Jun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Jun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Jun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Jun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Jun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Jun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Jun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Jun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Jun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Jun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Jun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Jun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Jun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Jun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Jun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Jun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Jun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Jun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Jun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Jun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Jun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Jun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Jun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Jun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Jun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Jun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Jun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Jun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Jun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Jun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Jun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Jun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Jun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Jun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Jun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Jun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Jun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Jun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Jun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Jun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Jun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Jun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Jun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Jun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Jun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Jun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Jun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Jun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Jun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Jun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Jun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Jun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Jun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Jun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Jun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Jun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Jun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Jun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Jun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Jun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Jun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Jun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Jun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Jun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Jun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Jun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Jun 23</v>
      </c>
      <c r="B245" t="str">
        <f>ORG!$M$1</f>
        <v>Public Health Wales Trust</v>
      </c>
      <c r="C245" t="str">
        <f>ORG!$AZ$5</f>
        <v xml:space="preserve">Table A2 - Overview Of Key Risks &amp; Opportunities </v>
      </c>
      <c r="D245">
        <f>ORG!AZ21</f>
        <v>13</v>
      </c>
      <c r="E245" t="str">
        <f>ORG!BC21</f>
        <v>Low</v>
      </c>
      <c r="F245" s="2896" t="str">
        <f>ORG!BA21</f>
        <v>WG funding not yet confirmed - Screening Recovery Funding</v>
      </c>
      <c r="S245" s="2895">
        <f>ORG!BB21</f>
        <v>-979</v>
      </c>
      <c r="U245">
        <f t="shared" si="11"/>
        <v>-979</v>
      </c>
    </row>
    <row r="246" spans="1:21">
      <c r="A246" s="2894" t="str">
        <f>ORG!$S$1</f>
        <v>Jun 23</v>
      </c>
      <c r="B246" t="str">
        <f>ORG!$M$1</f>
        <v>Public Health Wales Trust</v>
      </c>
      <c r="C246" t="str">
        <f>ORG!$AZ$5</f>
        <v xml:space="preserve">Table A2 - Overview Of Key Risks &amp; Opportunities </v>
      </c>
      <c r="D246">
        <f>ORG!AZ22</f>
        <v>14</v>
      </c>
      <c r="E246" t="str">
        <f>ORG!BC22</f>
        <v>Low</v>
      </c>
      <c r="F246" s="2896" t="str">
        <f>ORG!BA22</f>
        <v>WG funding not yet confirmed - Healthy Working Wales Funding</v>
      </c>
      <c r="S246" s="2895">
        <f>ORG!BB22</f>
        <v>-500</v>
      </c>
      <c r="U246">
        <f t="shared" si="11"/>
        <v>-500</v>
      </c>
    </row>
    <row r="247" spans="1:21">
      <c r="A247" s="2894" t="str">
        <f>ORG!$S$1</f>
        <v>Jun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Jun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Jun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Jun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Jun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Jun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Jun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Jun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Jun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Jun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Jun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Jun 23</v>
      </c>
      <c r="B258" t="str">
        <f>ORG!$M$1</f>
        <v>Public Health Wales Trust</v>
      </c>
      <c r="C258" t="str">
        <f>ORG!$AZ$5</f>
        <v xml:space="preserve">Table A2 - Overview Of Key Risks &amp; Opportunities </v>
      </c>
      <c r="D258">
        <f>ORG!AZ34</f>
        <v>26</v>
      </c>
      <c r="E258">
        <f>ORG!BC34</f>
        <v>0</v>
      </c>
      <c r="F258" t="str">
        <f>ORG!BA34</f>
        <v>Total Risks</v>
      </c>
      <c r="S258" s="2895">
        <f>ORG!BB34</f>
        <v>-1479</v>
      </c>
      <c r="U258">
        <f t="shared" si="11"/>
        <v>-1479</v>
      </c>
    </row>
    <row r="259" spans="1:21">
      <c r="A259" s="2894" t="str">
        <f>ORG!$S$1</f>
        <v>Jun 23</v>
      </c>
      <c r="B259" t="str">
        <f>ORG!$M$1</f>
        <v>Public Health Wales Trust</v>
      </c>
      <c r="C259" t="str">
        <f>ORG!$AZ$5</f>
        <v xml:space="preserve">Table A2 - Overview Of Key Risks &amp; Opportunities </v>
      </c>
      <c r="D259">
        <f>ORG!AZ36</f>
        <v>27</v>
      </c>
      <c r="E259">
        <f>ORG!BC36</f>
        <v>0</v>
      </c>
      <c r="F259" s="2896">
        <f>ORG!BA36</f>
        <v>0</v>
      </c>
      <c r="S259" s="2895">
        <f>ORG!BB36</f>
        <v>0</v>
      </c>
      <c r="U259">
        <f t="shared" si="11"/>
        <v>0</v>
      </c>
    </row>
    <row r="260" spans="1:21">
      <c r="A260" s="2894" t="str">
        <f>ORG!$S$1</f>
        <v>Jun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Jun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Jun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Jun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Jun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Jun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Jun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0</v>
      </c>
      <c r="U266">
        <f t="shared" si="12"/>
        <v>0</v>
      </c>
    </row>
    <row r="267" spans="1:21">
      <c r="A267" s="2894" t="str">
        <f>ORG!$S$1</f>
        <v>Jun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-1.5329998404922662E-4</v>
      </c>
      <c r="U267">
        <f t="shared" si="12"/>
        <v>-1.5329998404922662E-4</v>
      </c>
    </row>
    <row r="268" spans="1:21">
      <c r="A268" s="2894" t="str">
        <f>ORG!$S$1</f>
        <v>Jun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-1.5329998404922662E-4</v>
      </c>
      <c r="U268">
        <f t="shared" si="12"/>
        <v>-1.5329998404922662E-4</v>
      </c>
    </row>
    <row r="269" spans="1:21">
      <c r="A269" s="2894" t="str">
        <f>ORG!$S$1</f>
        <v>Jun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-1479.000153299984</v>
      </c>
      <c r="U269">
        <f t="shared" si="12"/>
        <v>-1479.000153299984</v>
      </c>
    </row>
    <row r="270" spans="1:21">
      <c r="A270" s="2894" t="str">
        <f>ORG!$S$1</f>
        <v>Jun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-1.5329998404922662E-4</v>
      </c>
      <c r="U270">
        <f t="shared" si="12"/>
        <v>-1.5329998404922662E-4</v>
      </c>
    </row>
    <row r="271" spans="1:21">
      <c r="A271" s="2894" t="str">
        <f>ORG!$S$1</f>
        <v>Jun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Jun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Jun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1934</v>
      </c>
      <c r="K273">
        <f>'B - Monthly Positions'!H13</f>
        <v>1934</v>
      </c>
      <c r="L273">
        <f>'B - Monthly Positions'!I13</f>
        <v>1934</v>
      </c>
      <c r="M273">
        <f>'B - Monthly Positions'!J13</f>
        <v>1927</v>
      </c>
      <c r="N273">
        <f>'B - Monthly Positions'!K13</f>
        <v>1927</v>
      </c>
      <c r="O273">
        <f>'B - Monthly Positions'!L13</f>
        <v>1927</v>
      </c>
      <c r="P273">
        <f>'B - Monthly Positions'!M13</f>
        <v>1927</v>
      </c>
      <c r="Q273">
        <f>'B - Monthly Positions'!N13</f>
        <v>1927</v>
      </c>
      <c r="R273">
        <f>'B - Monthly Positions'!O13</f>
        <v>1928</v>
      </c>
      <c r="S273">
        <f>'B - Monthly Positions'!Q13</f>
        <v>23414</v>
      </c>
      <c r="U273">
        <f t="shared" si="12"/>
        <v>23414</v>
      </c>
    </row>
    <row r="274" spans="1:21">
      <c r="A274" s="2894" t="str">
        <f>ORG!$S$1</f>
        <v>Jun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0</v>
      </c>
      <c r="K274">
        <f>'B - Monthly Positions'!H14</f>
        <v>0</v>
      </c>
      <c r="L274">
        <f>'B - Monthly Positions'!I14</f>
        <v>0</v>
      </c>
      <c r="M274">
        <f>'B - Monthly Positions'!J14</f>
        <v>0</v>
      </c>
      <c r="N274">
        <f>'B - Monthly Positions'!K14</f>
        <v>0</v>
      </c>
      <c r="O274">
        <f>'B - Monthly Positions'!L14</f>
        <v>0</v>
      </c>
      <c r="P274">
        <f>'B - Monthly Positions'!M14</f>
        <v>0</v>
      </c>
      <c r="Q274">
        <f>'B - Monthly Positions'!N14</f>
        <v>0</v>
      </c>
      <c r="R274">
        <f>'B - Monthly Positions'!O14</f>
        <v>0</v>
      </c>
      <c r="S274">
        <f>'B - Monthly Positions'!Q14</f>
        <v>50</v>
      </c>
      <c r="U274">
        <f t="shared" si="12"/>
        <v>50</v>
      </c>
    </row>
    <row r="275" spans="1:21">
      <c r="A275" s="2894" t="str">
        <f>ORG!$S$1</f>
        <v>Jun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18062.749830428413</v>
      </c>
      <c r="K275">
        <f>'B - Monthly Positions'!H15</f>
        <v>16960.033163761749</v>
      </c>
      <c r="L275">
        <f>'B - Monthly Positions'!I15</f>
        <v>17360.770678371584</v>
      </c>
      <c r="M275">
        <f>'B - Monthly Positions'!J15</f>
        <v>17918.215655619671</v>
      </c>
      <c r="N275">
        <f>'B - Monthly Positions'!K15</f>
        <v>17570.458189846995</v>
      </c>
      <c r="O275">
        <f>'B - Monthly Positions'!L15</f>
        <v>17869.640655619671</v>
      </c>
      <c r="P275">
        <f>'B - Monthly Positions'!M15</f>
        <v>17667.215655619671</v>
      </c>
      <c r="Q275">
        <f>'B - Monthly Positions'!N15</f>
        <v>17628.645004074318</v>
      </c>
      <c r="R275">
        <f>'B - Monthly Positions'!O15</f>
        <v>18657.735700619673</v>
      </c>
      <c r="S275">
        <f>'B - Monthly Positions'!Q15</f>
        <v>207660.46453396173</v>
      </c>
      <c r="U275">
        <f t="shared" si="12"/>
        <v>207660.46453396173</v>
      </c>
    </row>
    <row r="276" spans="1:21">
      <c r="A276" s="2894" t="str">
        <f>ORG!$S$1</f>
        <v>Jun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384.66800000000001</v>
      </c>
      <c r="K276">
        <f>'B - Monthly Positions'!H16</f>
        <v>383.66800000000001</v>
      </c>
      <c r="L276">
        <f>'B - Monthly Positions'!I16</f>
        <v>383.66800000000001</v>
      </c>
      <c r="M276">
        <f>'B - Monthly Positions'!J16</f>
        <v>383.66800000000001</v>
      </c>
      <c r="N276">
        <f>'B - Monthly Positions'!K16</f>
        <v>383.66800000000001</v>
      </c>
      <c r="O276">
        <f>'B - Monthly Positions'!L16</f>
        <v>383.66800000000001</v>
      </c>
      <c r="P276">
        <f>'B - Monthly Positions'!M16</f>
        <v>381.66800000000001</v>
      </c>
      <c r="Q276">
        <f>'B - Monthly Positions'!N16</f>
        <v>379.66800000000001</v>
      </c>
      <c r="R276">
        <f>'B - Monthly Positions'!O16</f>
        <v>379.654</v>
      </c>
      <c r="S276">
        <f>'B - Monthly Positions'!Q16</f>
        <v>5076.9980000000005</v>
      </c>
      <c r="U276">
        <f t="shared" si="12"/>
        <v>5076.9980000000005</v>
      </c>
    </row>
    <row r="277" spans="1:21">
      <c r="A277" s="2894" t="str">
        <f>ORG!$S$1</f>
        <v>Jun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20381.417830428414</v>
      </c>
      <c r="K277">
        <f>'B - Monthly Positions'!H17</f>
        <v>19277.701163761751</v>
      </c>
      <c r="L277">
        <f>'B - Monthly Positions'!I17</f>
        <v>19678.438678371585</v>
      </c>
      <c r="M277">
        <f>'B - Monthly Positions'!J17</f>
        <v>20228.883655619673</v>
      </c>
      <c r="N277">
        <f>'B - Monthly Positions'!K17</f>
        <v>19881.126189846997</v>
      </c>
      <c r="O277">
        <f>'B - Monthly Positions'!L17</f>
        <v>20180.308655619672</v>
      </c>
      <c r="P277">
        <f>'B - Monthly Positions'!M17</f>
        <v>19975.883655619673</v>
      </c>
      <c r="Q277">
        <f>'B - Monthly Positions'!N17</f>
        <v>19935.31300407432</v>
      </c>
      <c r="R277">
        <f>'B - Monthly Positions'!O17</f>
        <v>20965.389700619671</v>
      </c>
      <c r="S277">
        <f>'B - Monthly Positions'!Q17</f>
        <v>236201.46253396178</v>
      </c>
      <c r="U277">
        <f t="shared" si="12"/>
        <v>236201.46253396178</v>
      </c>
    </row>
    <row r="278" spans="1:21">
      <c r="A278" s="2894" t="str">
        <f>ORG!$S$1</f>
        <v>Jun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Jun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Jun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10912.38615</v>
      </c>
      <c r="K280">
        <f>'B - Monthly Positions'!H20</f>
        <v>10924.419483333333</v>
      </c>
      <c r="L280">
        <f>'B - Monthly Positions'!I20</f>
        <v>10964.259676666667</v>
      </c>
      <c r="M280">
        <f>'B - Monthly Positions'!J20</f>
        <v>11015.102576666666</v>
      </c>
      <c r="N280">
        <f>'B - Monthly Positions'!K20</f>
        <v>11015.102576666666</v>
      </c>
      <c r="O280">
        <f>'B - Monthly Positions'!L20</f>
        <v>11015.102576666666</v>
      </c>
      <c r="P280">
        <f>'B - Monthly Positions'!M20</f>
        <v>11011.102576666666</v>
      </c>
      <c r="Q280">
        <f>'B - Monthly Positions'!N20</f>
        <v>11001.259676666667</v>
      </c>
      <c r="R280">
        <f>'B - Monthly Positions'!O20</f>
        <v>11133.399441666666</v>
      </c>
      <c r="S280">
        <f>'B - Monthly Positions'!Q20</f>
        <v>133390.134735</v>
      </c>
      <c r="U280">
        <f t="shared" si="12"/>
        <v>133390.134735</v>
      </c>
    </row>
    <row r="281" spans="1:21">
      <c r="A281" s="2894" t="str">
        <f>ORG!$S$1</f>
        <v>Jun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8923.8516804284154</v>
      </c>
      <c r="K281">
        <f>'B - Monthly Positions'!H21</f>
        <v>7808.1016804284154</v>
      </c>
      <c r="L281">
        <f>'B - Monthly Positions'!I21</f>
        <v>8168.9990017049176</v>
      </c>
      <c r="M281">
        <f>'B - Monthly Positions'!J21</f>
        <v>8668.6010789530046</v>
      </c>
      <c r="N281">
        <f>'B - Monthly Positions'!K21</f>
        <v>8320.8436131803282</v>
      </c>
      <c r="O281">
        <f>'B - Monthly Positions'!L21</f>
        <v>8620.0260789530057</v>
      </c>
      <c r="P281">
        <f>'B - Monthly Positions'!M21</f>
        <v>8419.6010789530046</v>
      </c>
      <c r="Q281">
        <f>'B - Monthly Positions'!N21</f>
        <v>8388.8734240576505</v>
      </c>
      <c r="R281">
        <f>'B - Monthly Positions'!O21</f>
        <v>9349.8103556030055</v>
      </c>
      <c r="S281">
        <f>'B - Monthly Positions'!Q21</f>
        <v>96269.416992261758</v>
      </c>
      <c r="U281">
        <f t="shared" si="12"/>
        <v>96269.416992261758</v>
      </c>
    </row>
    <row r="282" spans="1:21">
      <c r="A282" s="2894" t="str">
        <f>ORG!$S$1</f>
        <v>Jun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Jun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Jun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Jun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Jun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Jun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Jun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Jun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Jun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Jun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Jun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518.58999999999992</v>
      </c>
      <c r="L292">
        <f>'B - Monthly Positions'!I32</f>
        <v>518.58999999999992</v>
      </c>
      <c r="M292">
        <f>'B - Monthly Positions'!J32</f>
        <v>518.58999999999992</v>
      </c>
      <c r="N292">
        <f>'B - Monthly Positions'!K32</f>
        <v>518.58999999999992</v>
      </c>
      <c r="O292">
        <f>'B - Monthly Positions'!L32</f>
        <v>518.58999999999992</v>
      </c>
      <c r="P292">
        <f>'B - Monthly Positions'!M32</f>
        <v>518.58999999999992</v>
      </c>
      <c r="Q292">
        <f>'B - Monthly Positions'!N32</f>
        <v>518.58999999999992</v>
      </c>
      <c r="R292">
        <f>'B - Monthly Positions'!O32</f>
        <v>518.58999999999992</v>
      </c>
      <c r="S292">
        <f>'B - Monthly Positions'!Q32</f>
        <v>6222.8810000000003</v>
      </c>
      <c r="U292">
        <f t="shared" si="12"/>
        <v>6222.8810000000003</v>
      </c>
    </row>
    <row r="293" spans="1:21">
      <c r="A293" s="2894" t="str">
        <f>ORG!$S$1</f>
        <v>Jun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26.590000000000003</v>
      </c>
      <c r="L293">
        <f>'B - Monthly Positions'!I33</f>
        <v>26.590000000000003</v>
      </c>
      <c r="M293">
        <f>'B - Monthly Positions'!J33</f>
        <v>26.590000000000003</v>
      </c>
      <c r="N293">
        <f>'B - Monthly Positions'!K33</f>
        <v>26.590000000000003</v>
      </c>
      <c r="O293">
        <f>'B - Monthly Positions'!L33</f>
        <v>26.590000000000003</v>
      </c>
      <c r="P293">
        <f>'B - Monthly Positions'!M33</f>
        <v>26.590000000000003</v>
      </c>
      <c r="Q293">
        <f>'B - Monthly Positions'!N33</f>
        <v>26.590000000000003</v>
      </c>
      <c r="R293">
        <f>'B - Monthly Positions'!O33</f>
        <v>26.590000000000003</v>
      </c>
      <c r="S293">
        <f>'B - Monthly Positions'!Q33</f>
        <v>319.03000000000003</v>
      </c>
      <c r="U293">
        <f t="shared" si="12"/>
        <v>319.03000000000003</v>
      </c>
    </row>
    <row r="294" spans="1:21">
      <c r="A294" s="2894" t="str">
        <f>ORG!$S$1</f>
        <v>Jun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Jun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Jun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20381.417830428414</v>
      </c>
      <c r="K296">
        <f>'B - Monthly Positions'!H36</f>
        <v>19277.701163761747</v>
      </c>
      <c r="L296">
        <f>'B - Monthly Positions'!I36</f>
        <v>19678.438678371585</v>
      </c>
      <c r="M296">
        <f>'B - Monthly Positions'!J36</f>
        <v>20228.883655619669</v>
      </c>
      <c r="N296">
        <f>'B - Monthly Positions'!K36</f>
        <v>19881.126189846997</v>
      </c>
      <c r="O296">
        <f>'B - Monthly Positions'!L36</f>
        <v>20180.308655619672</v>
      </c>
      <c r="P296">
        <f>'B - Monthly Positions'!M36</f>
        <v>19975.883655619669</v>
      </c>
      <c r="Q296">
        <f>'B - Monthly Positions'!N36</f>
        <v>19935.313100724317</v>
      </c>
      <c r="R296">
        <f>'B - Monthly Positions'!O36</f>
        <v>21028.389797269672</v>
      </c>
      <c r="S296">
        <f>'B - Monthly Positions'!Q36</f>
        <v>236201.46272726171</v>
      </c>
      <c r="U296">
        <f t="shared" si="12"/>
        <v>236201.46272726171</v>
      </c>
    </row>
    <row r="297" spans="1:21">
      <c r="A297" s="2894" t="str">
        <f>ORG!$S$1</f>
        <v>Jun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0</v>
      </c>
      <c r="K297">
        <f>'B - Monthly Positions'!H37</f>
        <v>3.637978807091713E-12</v>
      </c>
      <c r="L297">
        <f>'B - Monthly Positions'!I37</f>
        <v>0</v>
      </c>
      <c r="M297">
        <f>'B - Monthly Positions'!J37</f>
        <v>3.637978807091713E-12</v>
      </c>
      <c r="N297">
        <f>'B - Monthly Positions'!K37</f>
        <v>0</v>
      </c>
      <c r="O297">
        <f>'B - Monthly Positions'!L37</f>
        <v>0</v>
      </c>
      <c r="P297">
        <f>'B - Monthly Positions'!M37</f>
        <v>3.637978807091713E-12</v>
      </c>
      <c r="Q297">
        <f>'B - Monthly Positions'!N37</f>
        <v>-9.6649997431086376E-5</v>
      </c>
      <c r="R297">
        <f>'B - Monthly Positions'!O37</f>
        <v>-63.000096650001069</v>
      </c>
      <c r="S297">
        <f>'B - Monthly Positions'!Q37</f>
        <v>-1.9329992937855422E-4</v>
      </c>
      <c r="U297">
        <f t="shared" si="12"/>
        <v>-1.9329992937855422E-4</v>
      </c>
    </row>
    <row r="298" spans="1:21">
      <c r="A298" s="2894" t="str">
        <f>ORG!$S$1</f>
        <v>Jun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Jun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Jun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Jun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Jun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Jun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Jun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Jun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Jun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213832.55172726171</v>
      </c>
      <c r="U306">
        <f t="shared" si="12"/>
        <v>213832.55172726171</v>
      </c>
    </row>
    <row r="307" spans="1:21">
      <c r="A307" s="2894" t="str">
        <f>ORG!$S$1</f>
        <v>Jun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2379</v>
      </c>
      <c r="U307">
        <f t="shared" si="12"/>
        <v>2379</v>
      </c>
    </row>
    <row r="308" spans="1:21">
      <c r="A308" s="2894" t="str">
        <f>ORG!$S$1</f>
        <v>Jun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13448</v>
      </c>
      <c r="U308">
        <f t="shared" si="12"/>
        <v>13448</v>
      </c>
    </row>
    <row r="309" spans="1:21">
      <c r="A309" s="2894" t="str">
        <f>ORG!$S$1</f>
        <v>Jun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Jun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229659.55172726171</v>
      </c>
      <c r="U310">
        <f t="shared" si="12"/>
        <v>229659.55172726171</v>
      </c>
    </row>
    <row r="311" spans="1:21">
      <c r="A311" s="2894" t="str">
        <f>ORG!$S$1</f>
        <v>Jun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168.17</v>
      </c>
      <c r="L311">
        <f>'B - Monthly Positions'!I72</f>
        <v>168.17</v>
      </c>
      <c r="M311">
        <f>'B - Monthly Positions'!J72</f>
        <v>168.17</v>
      </c>
      <c r="N311">
        <f>'B - Monthly Positions'!K72</f>
        <v>168.17</v>
      </c>
      <c r="O311">
        <f>'B - Monthly Positions'!L72</f>
        <v>168.17</v>
      </c>
      <c r="P311">
        <f>'B - Monthly Positions'!M72</f>
        <v>168.17</v>
      </c>
      <c r="Q311">
        <f>'B - Monthly Positions'!N72</f>
        <v>168.17</v>
      </c>
      <c r="R311">
        <f>'B - Monthly Positions'!O72</f>
        <v>168.17</v>
      </c>
      <c r="S311">
        <f>'B - Monthly Positions'!Q72</f>
        <v>2017.8510000000001</v>
      </c>
      <c r="U311">
        <f t="shared" si="12"/>
        <v>2017.8510000000001</v>
      </c>
    </row>
    <row r="312" spans="1:21">
      <c r="A312" s="2894" t="str">
        <f>ORG!$S$1</f>
        <v>Jun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226.25</v>
      </c>
      <c r="L312">
        <f>'B - Monthly Positions'!I73</f>
        <v>226.25</v>
      </c>
      <c r="M312">
        <f>'B - Monthly Positions'!J73</f>
        <v>226.25</v>
      </c>
      <c r="N312">
        <f>'B - Monthly Positions'!K73</f>
        <v>226.25</v>
      </c>
      <c r="O312">
        <f>'B - Monthly Positions'!L73</f>
        <v>226.25</v>
      </c>
      <c r="P312">
        <f>'B - Monthly Positions'!M73</f>
        <v>226.25</v>
      </c>
      <c r="Q312">
        <f>'B - Monthly Positions'!N73</f>
        <v>226.25</v>
      </c>
      <c r="R312">
        <f>'B - Monthly Positions'!O73</f>
        <v>226.25</v>
      </c>
      <c r="S312">
        <f>'B - Monthly Positions'!Q73</f>
        <v>2715</v>
      </c>
      <c r="U312">
        <f t="shared" si="12"/>
        <v>2715</v>
      </c>
    </row>
    <row r="313" spans="1:21">
      <c r="A313" s="2894" t="str">
        <f>ORG!$S$1</f>
        <v>Jun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Jun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Jun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Jun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518.58999999999992</v>
      </c>
      <c r="L316">
        <f>'B - Monthly Positions'!I77</f>
        <v>518.58999999999992</v>
      </c>
      <c r="M316">
        <f>'B - Monthly Positions'!J77</f>
        <v>518.58999999999992</v>
      </c>
      <c r="N316">
        <f>'B - Monthly Positions'!K77</f>
        <v>518.58999999999992</v>
      </c>
      <c r="O316">
        <f>'B - Monthly Positions'!L77</f>
        <v>518.58999999999992</v>
      </c>
      <c r="P316">
        <f>'B - Monthly Positions'!M77</f>
        <v>518.58999999999992</v>
      </c>
      <c r="Q316">
        <f>'B - Monthly Positions'!N77</f>
        <v>518.58999999999992</v>
      </c>
      <c r="R316">
        <f>'B - Monthly Positions'!O77</f>
        <v>518.58999999999992</v>
      </c>
      <c r="S316">
        <f>'B - Monthly Positions'!Q77</f>
        <v>6222.8810000000003</v>
      </c>
      <c r="U316">
        <f t="shared" si="12"/>
        <v>6222.8810000000003</v>
      </c>
    </row>
    <row r="317" spans="1:21">
      <c r="A317" s="2894" t="str">
        <f>ORG!$S$1</f>
        <v>Jun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10.17</v>
      </c>
      <c r="L317">
        <f>'B - Monthly Positions'!I79</f>
        <v>10.17</v>
      </c>
      <c r="M317">
        <f>'B - Monthly Positions'!J79</f>
        <v>10.17</v>
      </c>
      <c r="N317">
        <f>'B - Monthly Positions'!K79</f>
        <v>10.17</v>
      </c>
      <c r="O317">
        <f>'B - Monthly Positions'!L79</f>
        <v>10.17</v>
      </c>
      <c r="P317">
        <f>'B - Monthly Positions'!M79</f>
        <v>10.17</v>
      </c>
      <c r="Q317">
        <f>'B - Monthly Positions'!N79</f>
        <v>10.17</v>
      </c>
      <c r="R317">
        <f>'B - Monthly Positions'!O79</f>
        <v>10.17</v>
      </c>
      <c r="S317">
        <f>'B - Monthly Positions'!Q79</f>
        <v>122</v>
      </c>
      <c r="U317">
        <f t="shared" si="12"/>
        <v>122</v>
      </c>
    </row>
    <row r="318" spans="1:21">
      <c r="A318" s="2894" t="str">
        <f>ORG!$S$1</f>
        <v>Jun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Jun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Jun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26.590000000000003</v>
      </c>
      <c r="L320">
        <f>'B - Monthly Positions'!I82</f>
        <v>26.590000000000003</v>
      </c>
      <c r="M320">
        <f>'B - Monthly Positions'!J82</f>
        <v>26.590000000000003</v>
      </c>
      <c r="N320">
        <f>'B - Monthly Positions'!K82</f>
        <v>26.590000000000003</v>
      </c>
      <c r="O320">
        <f>'B - Monthly Positions'!L82</f>
        <v>26.590000000000003</v>
      </c>
      <c r="P320">
        <f>'B - Monthly Positions'!M82</f>
        <v>26.590000000000003</v>
      </c>
      <c r="Q320">
        <f>'B - Monthly Positions'!N82</f>
        <v>26.590000000000003</v>
      </c>
      <c r="R320">
        <f>'B - Monthly Positions'!O82</f>
        <v>26.590000000000003</v>
      </c>
      <c r="S320">
        <f>'B - Monthly Positions'!Q82</f>
        <v>319.03000000000003</v>
      </c>
      <c r="U320">
        <f t="shared" si="12"/>
        <v>319.03000000000003</v>
      </c>
    </row>
    <row r="321" spans="1:21">
      <c r="A321" s="2894" t="str">
        <f>ORG!$S$1</f>
        <v>Jun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Jun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Jun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Jun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Jun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Jun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Jun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Jun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Jun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Jun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Jun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Jun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Jun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Jun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Jun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Jun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Jun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Jun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Jun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Jun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Jun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Jun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Jun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Jun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Jun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Jun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Jun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Jun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Jun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Jun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Jun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Jun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6070.7792499999996</v>
      </c>
      <c r="K352">
        <f>'B2 - Pay &amp; Agency'!G10</f>
        <v>6093.8004166666669</v>
      </c>
      <c r="L352">
        <f>'B2 - Pay &amp; Agency'!H10</f>
        <v>6113.3547349999999</v>
      </c>
      <c r="M352">
        <f>'B2 - Pay &amp; Agency'!I10</f>
        <v>6171.1976350000004</v>
      </c>
      <c r="N352">
        <f>'B2 - Pay &amp; Agency'!J10</f>
        <v>6171.1976350000004</v>
      </c>
      <c r="O352">
        <f>'B2 - Pay &amp; Agency'!K10</f>
        <v>6171.1976350000004</v>
      </c>
      <c r="P352">
        <f>'B2 - Pay &amp; Agency'!L10</f>
        <v>6163.1976350000004</v>
      </c>
      <c r="Q352">
        <f>'B2 - Pay &amp; Agency'!M10</f>
        <v>6156.3547349999999</v>
      </c>
      <c r="R352">
        <f>'B2 - Pay &amp; Agency'!N10</f>
        <v>6266.4944999999998</v>
      </c>
      <c r="S352">
        <f>'B2 - Pay &amp; Agency'!P10</f>
        <v>74897.574176666676</v>
      </c>
      <c r="U352">
        <f t="shared" ref="U352:U382" si="14">S352+T352</f>
        <v>74897.574176666676</v>
      </c>
    </row>
    <row r="353" spans="1:21">
      <c r="A353" s="2894" t="str">
        <f>ORG!$S$1</f>
        <v>Jun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1367</v>
      </c>
      <c r="K353">
        <f>'B2 - Pay &amp; Agency'!G11</f>
        <v>1367</v>
      </c>
      <c r="L353">
        <f>'B2 - Pay &amp; Agency'!H11</f>
        <v>1373</v>
      </c>
      <c r="M353">
        <f>'B2 - Pay &amp; Agency'!I11</f>
        <v>1364</v>
      </c>
      <c r="N353">
        <f>'B2 - Pay &amp; Agency'!J11</f>
        <v>1364</v>
      </c>
      <c r="O353">
        <f>'B2 - Pay &amp; Agency'!K11</f>
        <v>1364</v>
      </c>
      <c r="P353">
        <f>'B2 - Pay &amp; Agency'!L11</f>
        <v>1364</v>
      </c>
      <c r="Q353">
        <f>'B2 - Pay &amp; Agency'!M11</f>
        <v>1364</v>
      </c>
      <c r="R353">
        <f>'B2 - Pay &amp; Agency'!N11</f>
        <v>1365</v>
      </c>
      <c r="S353">
        <f>'B2 - Pay &amp; Agency'!P11</f>
        <v>16088</v>
      </c>
      <c r="U353">
        <f t="shared" si="14"/>
        <v>16088</v>
      </c>
    </row>
    <row r="354" spans="1:21">
      <c r="A354" s="2894" t="str">
        <f>ORG!$S$1</f>
        <v>Jun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456</v>
      </c>
      <c r="K354">
        <f>'B2 - Pay &amp; Agency'!G12</f>
        <v>456</v>
      </c>
      <c r="L354">
        <f>'B2 - Pay &amp; Agency'!H12</f>
        <v>456</v>
      </c>
      <c r="M354">
        <f>'B2 - Pay &amp; Agency'!I12</f>
        <v>454</v>
      </c>
      <c r="N354">
        <f>'B2 - Pay &amp; Agency'!J12</f>
        <v>454</v>
      </c>
      <c r="O354">
        <f>'B2 - Pay &amp; Agency'!K12</f>
        <v>454</v>
      </c>
      <c r="P354">
        <f>'B2 - Pay &amp; Agency'!L12</f>
        <v>454</v>
      </c>
      <c r="Q354">
        <f>'B2 - Pay &amp; Agency'!M12</f>
        <v>454</v>
      </c>
      <c r="R354">
        <f>'B2 - Pay &amp; Agency'!N12</f>
        <v>463</v>
      </c>
      <c r="S354">
        <f>'B2 - Pay &amp; Agency'!P12</f>
        <v>5644</v>
      </c>
      <c r="U354">
        <f t="shared" si="14"/>
        <v>5644</v>
      </c>
    </row>
    <row r="355" spans="1:21">
      <c r="A355" s="2894" t="str">
        <f>ORG!$S$1</f>
        <v>Jun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Jun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268.01150000000001</v>
      </c>
      <c r="K356">
        <f>'B2 - Pay &amp; Agency'!G14</f>
        <v>267.62175000000002</v>
      </c>
      <c r="L356">
        <f>'B2 - Pay &amp; Agency'!H14</f>
        <v>267.62175000000002</v>
      </c>
      <c r="M356">
        <f>'B2 - Pay &amp; Agency'!I14</f>
        <v>268.62175000000002</v>
      </c>
      <c r="N356">
        <f>'B2 - Pay &amp; Agency'!J14</f>
        <v>268.62175000000002</v>
      </c>
      <c r="O356">
        <f>'B2 - Pay &amp; Agency'!K14</f>
        <v>268.62175000000002</v>
      </c>
      <c r="P356">
        <f>'B2 - Pay &amp; Agency'!L14</f>
        <v>268.62175000000002</v>
      </c>
      <c r="Q356">
        <f>'B2 - Pay &amp; Agency'!M14</f>
        <v>268.62175000000002</v>
      </c>
      <c r="R356">
        <f>'B2 - Pay &amp; Agency'!N14</f>
        <v>268.62175000000002</v>
      </c>
      <c r="S356">
        <f>'B2 - Pay &amp; Agency'!P14</f>
        <v>3433.9855000000016</v>
      </c>
      <c r="U356">
        <f t="shared" si="14"/>
        <v>3433.9855000000016</v>
      </c>
    </row>
    <row r="357" spans="1:21">
      <c r="A357" s="2894" t="str">
        <f>ORG!$S$1</f>
        <v>Jun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1159</v>
      </c>
      <c r="K357">
        <f>'B2 - Pay &amp; Agency'!G15</f>
        <v>1159</v>
      </c>
      <c r="L357">
        <f>'B2 - Pay &amp; Agency'!H15</f>
        <v>1159</v>
      </c>
      <c r="M357">
        <f>'B2 - Pay &amp; Agency'!I15</f>
        <v>1160</v>
      </c>
      <c r="N357">
        <f>'B2 - Pay &amp; Agency'!J15</f>
        <v>1160</v>
      </c>
      <c r="O357">
        <f>'B2 - Pay &amp; Agency'!K15</f>
        <v>1160</v>
      </c>
      <c r="P357">
        <f>'B2 - Pay &amp; Agency'!L15</f>
        <v>1164</v>
      </c>
      <c r="Q357">
        <f>'B2 - Pay &amp; Agency'!M15</f>
        <v>1161</v>
      </c>
      <c r="R357">
        <f>'B2 - Pay &amp; Agency'!N15</f>
        <v>1161</v>
      </c>
      <c r="S357">
        <f>'B2 - Pay &amp; Agency'!P15</f>
        <v>13732</v>
      </c>
      <c r="U357">
        <f t="shared" si="14"/>
        <v>13732</v>
      </c>
    </row>
    <row r="358" spans="1:21">
      <c r="A358" s="2894" t="str">
        <f>ORG!$S$1</f>
        <v>Jun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1590.5953999999999</v>
      </c>
      <c r="K358">
        <f>'B2 - Pay &amp; Agency'!G16</f>
        <v>1579.9973166666666</v>
      </c>
      <c r="L358">
        <f>'B2 - Pay &amp; Agency'!H16</f>
        <v>1594.2831916666667</v>
      </c>
      <c r="M358">
        <f>'B2 - Pay &amp; Agency'!I16</f>
        <v>1596.2831916666667</v>
      </c>
      <c r="N358">
        <f>'B2 - Pay &amp; Agency'!J16</f>
        <v>1596.2831916666667</v>
      </c>
      <c r="O358">
        <f>'B2 - Pay &amp; Agency'!K16</f>
        <v>1596.2831916666667</v>
      </c>
      <c r="P358">
        <f>'B2 - Pay &amp; Agency'!L16</f>
        <v>1596.2831916666667</v>
      </c>
      <c r="Q358">
        <f>'B2 - Pay &amp; Agency'!M16</f>
        <v>1596.2831916666667</v>
      </c>
      <c r="R358">
        <f>'B2 - Pay &amp; Agency'!N16</f>
        <v>1608.2831916666667</v>
      </c>
      <c r="S358">
        <f>'B2 - Pay &amp; Agency'!P16</f>
        <v>19580.575058333336</v>
      </c>
      <c r="U358">
        <f t="shared" si="14"/>
        <v>19580.575058333336</v>
      </c>
    </row>
    <row r="359" spans="1:21">
      <c r="A359" s="2894" t="str">
        <f>ORG!$S$1</f>
        <v>Jun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1</v>
      </c>
      <c r="K359">
        <f>'B2 - Pay &amp; Agency'!G17</f>
        <v>1</v>
      </c>
      <c r="L359">
        <f>'B2 - Pay &amp; Agency'!H17</f>
        <v>1</v>
      </c>
      <c r="M359">
        <f>'B2 - Pay &amp; Agency'!I17</f>
        <v>1</v>
      </c>
      <c r="N359">
        <f>'B2 - Pay &amp; Agency'!J17</f>
        <v>1</v>
      </c>
      <c r="O359">
        <f>'B2 - Pay &amp; Agency'!K17</f>
        <v>1</v>
      </c>
      <c r="P359">
        <f>'B2 - Pay &amp; Agency'!L17</f>
        <v>1</v>
      </c>
      <c r="Q359">
        <f>'B2 - Pay &amp; Agency'!M17</f>
        <v>1</v>
      </c>
      <c r="R359">
        <f>'B2 - Pay &amp; Agency'!N17</f>
        <v>1</v>
      </c>
      <c r="S359">
        <f>'B2 - Pay &amp; Agency'!P17</f>
        <v>14</v>
      </c>
      <c r="U359">
        <f t="shared" si="14"/>
        <v>14</v>
      </c>
    </row>
    <row r="360" spans="1:21">
      <c r="A360" s="2894" t="str">
        <f>ORG!$S$1</f>
        <v>Jun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Jun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10912.38615</v>
      </c>
      <c r="K361">
        <f>'B2 - Pay &amp; Agency'!G19</f>
        <v>10924.419483333333</v>
      </c>
      <c r="L361">
        <f>'B2 - Pay &amp; Agency'!H19</f>
        <v>10964.259676666667</v>
      </c>
      <c r="M361">
        <f>'B2 - Pay &amp; Agency'!I19</f>
        <v>11015.102576666668</v>
      </c>
      <c r="N361">
        <f>'B2 - Pay &amp; Agency'!J19</f>
        <v>11015.102576666668</v>
      </c>
      <c r="O361">
        <f>'B2 - Pay &amp; Agency'!K19</f>
        <v>11015.102576666668</v>
      </c>
      <c r="P361">
        <f>'B2 - Pay &amp; Agency'!L19</f>
        <v>11011.102576666668</v>
      </c>
      <c r="Q361">
        <f>'B2 - Pay &amp; Agency'!M19</f>
        <v>11001.259676666667</v>
      </c>
      <c r="R361">
        <f>'B2 - Pay &amp; Agency'!N19</f>
        <v>11133.399441666666</v>
      </c>
      <c r="S361">
        <f>'B2 - Pay &amp; Agency'!P19</f>
        <v>133390.134735</v>
      </c>
      <c r="U361">
        <f t="shared" si="14"/>
        <v>133390.134735</v>
      </c>
    </row>
    <row r="362" spans="1:21">
      <c r="A362" s="2894" t="str">
        <f>ORG!$S$1</f>
        <v>Jun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10912.38615</v>
      </c>
      <c r="K362">
        <f>'B2 - Pay &amp; Agency'!G24</f>
        <v>10924.419483333333</v>
      </c>
      <c r="L362">
        <f>'B2 - Pay &amp; Agency'!H24</f>
        <v>10964.259676666667</v>
      </c>
      <c r="M362">
        <f>'B2 - Pay &amp; Agency'!I24</f>
        <v>11015.102576666666</v>
      </c>
      <c r="N362">
        <f>'B2 - Pay &amp; Agency'!J24</f>
        <v>11015.102576666666</v>
      </c>
      <c r="O362">
        <f>'B2 - Pay &amp; Agency'!K24</f>
        <v>11015.102576666666</v>
      </c>
      <c r="P362">
        <f>'B2 - Pay &amp; Agency'!L24</f>
        <v>11011.102576666666</v>
      </c>
      <c r="Q362">
        <f>'B2 - Pay &amp; Agency'!M24</f>
        <v>11001.259676666667</v>
      </c>
      <c r="R362">
        <f>'B2 - Pay &amp; Agency'!N24</f>
        <v>11133.399441666666</v>
      </c>
      <c r="S362">
        <f>'B2 - Pay &amp; Agency'!P24</f>
        <v>133390.134735</v>
      </c>
      <c r="U362">
        <f t="shared" si="14"/>
        <v>133390.134735</v>
      </c>
    </row>
    <row r="363" spans="1:21">
      <c r="A363" s="2894" t="str">
        <f>ORG!$S$1</f>
        <v>Jun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Jun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10912.38615</v>
      </c>
      <c r="K364">
        <f>'B2 - Pay &amp; Agency'!G26</f>
        <v>10924.419483333333</v>
      </c>
      <c r="L364">
        <f>'B2 - Pay &amp; Agency'!H26</f>
        <v>10964.259676666667</v>
      </c>
      <c r="M364">
        <f>'B2 - Pay &amp; Agency'!I26</f>
        <v>11015.102576666666</v>
      </c>
      <c r="N364">
        <f>'B2 - Pay &amp; Agency'!J26</f>
        <v>11015.102576666666</v>
      </c>
      <c r="O364">
        <f>'B2 - Pay &amp; Agency'!K26</f>
        <v>11015.102576666666</v>
      </c>
      <c r="P364">
        <f>'B2 - Pay &amp; Agency'!L26</f>
        <v>11011.102576666666</v>
      </c>
      <c r="Q364">
        <f>'B2 - Pay &amp; Agency'!M26</f>
        <v>11001.259676666667</v>
      </c>
      <c r="R364">
        <f>'B2 - Pay &amp; Agency'!N26</f>
        <v>11133.399441666666</v>
      </c>
      <c r="S364">
        <f>'B2 - Pay &amp; Agency'!P26</f>
        <v>133390.134735</v>
      </c>
      <c r="U364">
        <f t="shared" si="14"/>
        <v>133390.134735</v>
      </c>
    </row>
    <row r="365" spans="1:21">
      <c r="A365" s="2894" t="str">
        <f>ORG!$S$1</f>
        <v>Jun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151.33333333333334</v>
      </c>
      <c r="K365">
        <f>'B2 - Pay &amp; Agency'!G33</f>
        <v>151.33333333333334</v>
      </c>
      <c r="L365">
        <f>'B2 - Pay &amp; Agency'!H33</f>
        <v>151.33333333333334</v>
      </c>
      <c r="M365">
        <f>'B2 - Pay &amp; Agency'!I33</f>
        <v>151.33333333333334</v>
      </c>
      <c r="N365">
        <f>'B2 - Pay &amp; Agency'!J33</f>
        <v>151.33333333333334</v>
      </c>
      <c r="O365">
        <f>'B2 - Pay &amp; Agency'!K33</f>
        <v>151.33333333333334</v>
      </c>
      <c r="P365">
        <f>'B2 - Pay &amp; Agency'!L33</f>
        <v>151.33333333333334</v>
      </c>
      <c r="Q365">
        <f>'B2 - Pay &amp; Agency'!M33</f>
        <v>151.33333333333334</v>
      </c>
      <c r="R365">
        <f>'B2 - Pay &amp; Agency'!N33</f>
        <v>151.33333333333334</v>
      </c>
      <c r="S365">
        <f>'B2 - Pay &amp; Agency'!P33</f>
        <v>1815.9999999999998</v>
      </c>
      <c r="U365">
        <f t="shared" si="14"/>
        <v>1815.9999999999998</v>
      </c>
    </row>
    <row r="366" spans="1:21">
      <c r="A366" s="2894" t="str">
        <f>ORG!$S$1</f>
        <v>Jun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24.333333333333332</v>
      </c>
      <c r="K366">
        <f>'B2 - Pay &amp; Agency'!G34</f>
        <v>24.333333333333332</v>
      </c>
      <c r="L366">
        <f>'B2 - Pay &amp; Agency'!H34</f>
        <v>24.333333333333332</v>
      </c>
      <c r="M366">
        <f>'B2 - Pay &amp; Agency'!I34</f>
        <v>24.333333333333332</v>
      </c>
      <c r="N366">
        <f>'B2 - Pay &amp; Agency'!J34</f>
        <v>24.333333333333332</v>
      </c>
      <c r="O366">
        <f>'B2 - Pay &amp; Agency'!K34</f>
        <v>24.333333333333332</v>
      </c>
      <c r="P366">
        <f>'B2 - Pay &amp; Agency'!L34</f>
        <v>24.333333333333332</v>
      </c>
      <c r="Q366">
        <f>'B2 - Pay &amp; Agency'!M34</f>
        <v>24.333333333333332</v>
      </c>
      <c r="R366">
        <f>'B2 - Pay &amp; Agency'!N34</f>
        <v>24.333333333333332</v>
      </c>
      <c r="S366">
        <f>'B2 - Pay &amp; Agency'!P34</f>
        <v>292</v>
      </c>
      <c r="U366">
        <f t="shared" si="14"/>
        <v>292</v>
      </c>
    </row>
    <row r="367" spans="1:21">
      <c r="A367" s="2894" t="str">
        <f>ORG!$S$1</f>
        <v>Jun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1</v>
      </c>
      <c r="K367">
        <f>'B2 - Pay &amp; Agency'!G35</f>
        <v>1</v>
      </c>
      <c r="L367">
        <f>'B2 - Pay &amp; Agency'!H35</f>
        <v>1</v>
      </c>
      <c r="M367">
        <f>'B2 - Pay &amp; Agency'!I35</f>
        <v>1</v>
      </c>
      <c r="N367">
        <f>'B2 - Pay &amp; Agency'!J35</f>
        <v>1</v>
      </c>
      <c r="O367">
        <f>'B2 - Pay &amp; Agency'!K35</f>
        <v>1</v>
      </c>
      <c r="P367">
        <f>'B2 - Pay &amp; Agency'!L35</f>
        <v>1</v>
      </c>
      <c r="Q367">
        <f>'B2 - Pay &amp; Agency'!M35</f>
        <v>1</v>
      </c>
      <c r="R367">
        <f>'B2 - Pay &amp; Agency'!N35</f>
        <v>1</v>
      </c>
      <c r="S367">
        <f>'B2 - Pay &amp; Agency'!P35</f>
        <v>12</v>
      </c>
      <c r="U367">
        <f t="shared" si="14"/>
        <v>12</v>
      </c>
    </row>
    <row r="368" spans="1:21">
      <c r="A368" s="2894" t="str">
        <f>ORG!$S$1</f>
        <v>Jun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Jun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23</v>
      </c>
      <c r="K369">
        <f>'B2 - Pay &amp; Agency'!G37</f>
        <v>23</v>
      </c>
      <c r="L369">
        <f>'B2 - Pay &amp; Agency'!H37</f>
        <v>23</v>
      </c>
      <c r="M369">
        <f>'B2 - Pay &amp; Agency'!I37</f>
        <v>23</v>
      </c>
      <c r="N369">
        <f>'B2 - Pay &amp; Agency'!J37</f>
        <v>23</v>
      </c>
      <c r="O369">
        <f>'B2 - Pay &amp; Agency'!K37</f>
        <v>23</v>
      </c>
      <c r="P369">
        <f>'B2 - Pay &amp; Agency'!L37</f>
        <v>23</v>
      </c>
      <c r="Q369">
        <f>'B2 - Pay &amp; Agency'!M37</f>
        <v>23</v>
      </c>
      <c r="R369">
        <f>'B2 - Pay &amp; Agency'!N37</f>
        <v>23</v>
      </c>
      <c r="S369">
        <f>'B2 - Pay &amp; Agency'!P37</f>
        <v>276</v>
      </c>
      <c r="U369">
        <f t="shared" si="14"/>
        <v>276</v>
      </c>
    </row>
    <row r="370" spans="1:21">
      <c r="A370" s="2894" t="str">
        <f>ORG!$S$1</f>
        <v>Jun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0</v>
      </c>
      <c r="K370">
        <f>'B2 - Pay &amp; Agency'!G38</f>
        <v>0</v>
      </c>
      <c r="L370">
        <f>'B2 - Pay &amp; Agency'!H38</f>
        <v>0</v>
      </c>
      <c r="M370">
        <f>'B2 - Pay &amp; Agency'!I38</f>
        <v>0</v>
      </c>
      <c r="N370">
        <f>'B2 - Pay &amp; Agency'!J38</f>
        <v>0</v>
      </c>
      <c r="O370">
        <f>'B2 - Pay &amp; Agency'!K38</f>
        <v>0</v>
      </c>
      <c r="P370">
        <f>'B2 - Pay &amp; Agency'!L38</f>
        <v>0</v>
      </c>
      <c r="Q370">
        <f>'B2 - Pay &amp; Agency'!M38</f>
        <v>0</v>
      </c>
      <c r="R370">
        <f>'B2 - Pay &amp; Agency'!N38</f>
        <v>0</v>
      </c>
      <c r="S370">
        <f>'B2 - Pay &amp; Agency'!P38</f>
        <v>-2</v>
      </c>
      <c r="U370">
        <f t="shared" si="14"/>
        <v>-2</v>
      </c>
    </row>
    <row r="371" spans="1:21">
      <c r="A371" s="2894" t="str">
        <f>ORG!$S$1</f>
        <v>Jun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82.666666666666671</v>
      </c>
      <c r="K371">
        <f>'B2 - Pay &amp; Agency'!G39</f>
        <v>82.666666666666671</v>
      </c>
      <c r="L371">
        <f>'B2 - Pay &amp; Agency'!H39</f>
        <v>82.666666666666671</v>
      </c>
      <c r="M371">
        <f>'B2 - Pay &amp; Agency'!I39</f>
        <v>82.666666666666671</v>
      </c>
      <c r="N371">
        <f>'B2 - Pay &amp; Agency'!J39</f>
        <v>82.666666666666671</v>
      </c>
      <c r="O371">
        <f>'B2 - Pay &amp; Agency'!K39</f>
        <v>82.666666666666671</v>
      </c>
      <c r="P371">
        <f>'B2 - Pay &amp; Agency'!L39</f>
        <v>82.666666666666671</v>
      </c>
      <c r="Q371">
        <f>'B2 - Pay &amp; Agency'!M39</f>
        <v>82.666666666666671</v>
      </c>
      <c r="R371">
        <f>'B2 - Pay &amp; Agency'!N39</f>
        <v>82.666666666666671</v>
      </c>
      <c r="S371">
        <f>'B2 - Pay &amp; Agency'!P39</f>
        <v>991.99999999999989</v>
      </c>
      <c r="U371">
        <f t="shared" si="14"/>
        <v>991.99999999999989</v>
      </c>
    </row>
    <row r="372" spans="1:21">
      <c r="A372" s="2894" t="str">
        <f>ORG!$S$1</f>
        <v>Jun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1</v>
      </c>
      <c r="K372">
        <f>'B2 - Pay &amp; Agency'!G40</f>
        <v>1</v>
      </c>
      <c r="L372">
        <f>'B2 - Pay &amp; Agency'!H40</f>
        <v>1</v>
      </c>
      <c r="M372">
        <f>'B2 - Pay &amp; Agency'!I40</f>
        <v>1</v>
      </c>
      <c r="N372">
        <f>'B2 - Pay &amp; Agency'!J40</f>
        <v>1</v>
      </c>
      <c r="O372">
        <f>'B2 - Pay &amp; Agency'!K40</f>
        <v>1</v>
      </c>
      <c r="P372">
        <f>'B2 - Pay &amp; Agency'!L40</f>
        <v>1</v>
      </c>
      <c r="Q372">
        <f>'B2 - Pay &amp; Agency'!M40</f>
        <v>1</v>
      </c>
      <c r="R372">
        <f>'B2 - Pay &amp; Agency'!N40</f>
        <v>1</v>
      </c>
      <c r="S372">
        <f>'B2 - Pay &amp; Agency'!P40</f>
        <v>12</v>
      </c>
      <c r="U372">
        <f t="shared" si="14"/>
        <v>12</v>
      </c>
    </row>
    <row r="373" spans="1:21">
      <c r="A373" s="2894" t="str">
        <f>ORG!$S$1</f>
        <v>Jun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Jun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283.33333333333337</v>
      </c>
      <c r="K374">
        <f>'B2 - Pay &amp; Agency'!G42</f>
        <v>283.33333333333337</v>
      </c>
      <c r="L374">
        <f>'B2 - Pay &amp; Agency'!H42</f>
        <v>283.33333333333337</v>
      </c>
      <c r="M374">
        <f>'B2 - Pay &amp; Agency'!I42</f>
        <v>283.33333333333337</v>
      </c>
      <c r="N374">
        <f>'B2 - Pay &amp; Agency'!J42</f>
        <v>283.33333333333337</v>
      </c>
      <c r="O374">
        <f>'B2 - Pay &amp; Agency'!K42</f>
        <v>283.33333333333337</v>
      </c>
      <c r="P374">
        <f>'B2 - Pay &amp; Agency'!L42</f>
        <v>283.33333333333337</v>
      </c>
      <c r="Q374">
        <f>'B2 - Pay &amp; Agency'!M42</f>
        <v>283.33333333333337</v>
      </c>
      <c r="R374">
        <f>'B2 - Pay &amp; Agency'!N42</f>
        <v>283.33333333333337</v>
      </c>
      <c r="S374">
        <f>'B2 - Pay &amp; Agency'!P42</f>
        <v>3398</v>
      </c>
      <c r="U374">
        <f t="shared" si="14"/>
        <v>3398</v>
      </c>
    </row>
    <row r="375" spans="1:21">
      <c r="A375" s="2894" t="str">
        <f>ORG!$S$1</f>
        <v>Jun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2.5964379324437063E-2</v>
      </c>
      <c r="K375">
        <f>IFERROR('B2 - Pay &amp; Agency'!G44,0)</f>
        <v>2.5935779357941752E-2</v>
      </c>
      <c r="L375">
        <f>IFERROR('B2 - Pay &amp; Agency'!H44,0)</f>
        <v>2.5841538023429214E-2</v>
      </c>
      <c r="M375">
        <f>IFERROR('B2 - Pay &amp; Agency'!I44,0)</f>
        <v>2.5722260084397163E-2</v>
      </c>
      <c r="N375">
        <f>IFERROR('B2 - Pay &amp; Agency'!J44,0)</f>
        <v>2.5722260084397163E-2</v>
      </c>
      <c r="O375">
        <f>IFERROR('B2 - Pay &amp; Agency'!K44,0)</f>
        <v>2.5722260084397163E-2</v>
      </c>
      <c r="P375">
        <f>IFERROR('B2 - Pay &amp; Agency'!L44,0)</f>
        <v>2.5731604202265577E-2</v>
      </c>
      <c r="Q375">
        <f>IFERROR('B2 - Pay &amp; Agency'!M44,0)</f>
        <v>2.5754626439213561E-2</v>
      </c>
      <c r="R375">
        <f>IFERROR('B2 - Pay &amp; Agency'!N44,0)</f>
        <v>2.5448950683738196E-2</v>
      </c>
      <c r="S375">
        <f>IFERROR('B2 - Pay &amp; Agency'!O44,0)</f>
        <v>2.4652596081167509E-2</v>
      </c>
      <c r="U375">
        <f t="shared" si="14"/>
        <v>2.4652596081167509E-2</v>
      </c>
    </row>
    <row r="376" spans="1:21">
      <c r="A376" s="2894" t="str">
        <f>ORG!$S$1</f>
        <v>Jun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275.66666666666669</v>
      </c>
      <c r="K376">
        <f>'B2 - Pay &amp; Agency'!G52</f>
        <v>275.66666666666669</v>
      </c>
      <c r="L376">
        <f>'B2 - Pay &amp; Agency'!H52</f>
        <v>275.66666666666669</v>
      </c>
      <c r="M376">
        <f>'B2 - Pay &amp; Agency'!I52</f>
        <v>275.66666666666669</v>
      </c>
      <c r="N376">
        <f>'B2 - Pay &amp; Agency'!J52</f>
        <v>275.66666666666669</v>
      </c>
      <c r="O376">
        <f>'B2 - Pay &amp; Agency'!K52</f>
        <v>275.66666666666669</v>
      </c>
      <c r="P376">
        <f>'B2 - Pay &amp; Agency'!L52</f>
        <v>275.66666666666669</v>
      </c>
      <c r="Q376">
        <f>'B2 - Pay &amp; Agency'!M52</f>
        <v>275.66666666666669</v>
      </c>
      <c r="R376">
        <f>'B2 - Pay &amp; Agency'!N52</f>
        <v>275.66666666666669</v>
      </c>
      <c r="S376">
        <f>'B2 - Pay &amp; Agency'!P52</f>
        <v>3307.9999999999995</v>
      </c>
      <c r="U376">
        <f t="shared" si="14"/>
        <v>3307.9999999999995</v>
      </c>
    </row>
    <row r="377" spans="1:21">
      <c r="A377" s="2894" t="str">
        <f>ORG!$S$1</f>
        <v>Jun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7</v>
      </c>
      <c r="L377">
        <f>'B2 - Pay &amp; Agency'!H53</f>
        <v>7</v>
      </c>
      <c r="M377">
        <f>'B2 - Pay &amp; Agency'!I53</f>
        <v>7</v>
      </c>
      <c r="N377">
        <f>'B2 - Pay &amp; Agency'!J53</f>
        <v>7</v>
      </c>
      <c r="O377">
        <f>'B2 - Pay &amp; Agency'!K53</f>
        <v>7</v>
      </c>
      <c r="P377">
        <f>'B2 - Pay &amp; Agency'!L53</f>
        <v>7</v>
      </c>
      <c r="Q377">
        <f>'B2 - Pay &amp; Agency'!M53</f>
        <v>7</v>
      </c>
      <c r="R377">
        <f>'B2 - Pay &amp; Agency'!N53</f>
        <v>7</v>
      </c>
      <c r="S377">
        <f>'B2 - Pay &amp; Agency'!P53</f>
        <v>84</v>
      </c>
      <c r="U377">
        <f t="shared" si="14"/>
        <v>84</v>
      </c>
    </row>
    <row r="378" spans="1:21">
      <c r="A378" s="2894" t="str">
        <f>ORG!$S$1</f>
        <v>Jun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Jun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Jun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Jun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Jun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Jun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Jun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Jun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Jun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Jun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Jun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Jun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282.66666666666669</v>
      </c>
      <c r="K389">
        <f>'B2 - Pay &amp; Agency'!G65</f>
        <v>282.66666666666669</v>
      </c>
      <c r="L389">
        <f>'B2 - Pay &amp; Agency'!H65</f>
        <v>282.66666666666669</v>
      </c>
      <c r="M389">
        <f>'B2 - Pay &amp; Agency'!I65</f>
        <v>282.66666666666669</v>
      </c>
      <c r="N389">
        <f>'B2 - Pay &amp; Agency'!J65</f>
        <v>282.66666666666669</v>
      </c>
      <c r="O389">
        <f>'B2 - Pay &amp; Agency'!K65</f>
        <v>282.66666666666669</v>
      </c>
      <c r="P389">
        <f>'B2 - Pay &amp; Agency'!L65</f>
        <v>282.66666666666669</v>
      </c>
      <c r="Q389">
        <f>'B2 - Pay &amp; Agency'!M65</f>
        <v>282.66666666666669</v>
      </c>
      <c r="R389">
        <f>'B2 - Pay &amp; Agency'!N65</f>
        <v>282.66666666666669</v>
      </c>
      <c r="S389">
        <f>'B2 - Pay &amp; Agency'!P65</f>
        <v>3391.9999999999995</v>
      </c>
      <c r="U389">
        <f t="shared" si="15"/>
        <v>3391.9999999999995</v>
      </c>
    </row>
    <row r="390" spans="1:21">
      <c r="A390" s="2894" t="str">
        <f>ORG!$S$1</f>
        <v>Jun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Jun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Jun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28.241</v>
      </c>
      <c r="K392">
        <f>'B3 - COVID-19'!G10</f>
        <v>69.998833333333323</v>
      </c>
      <c r="L392">
        <f>'B3 - COVID-19'!H10</f>
        <v>86.553151666666679</v>
      </c>
      <c r="M392">
        <f>'B3 - COVID-19'!I10</f>
        <v>89.396051666666665</v>
      </c>
      <c r="N392">
        <f>'B3 - COVID-19'!J10</f>
        <v>89.396051666666665</v>
      </c>
      <c r="O392">
        <f>'B3 - COVID-19'!K10</f>
        <v>89.396051666666665</v>
      </c>
      <c r="P392">
        <f>'B3 - COVID-19'!L10</f>
        <v>89.396051666666665</v>
      </c>
      <c r="Q392">
        <f>'B3 - COVID-19'!M10</f>
        <v>86.553151666666679</v>
      </c>
      <c r="R392">
        <f>'B3 - COVID-19'!N10</f>
        <v>84.692916666666676</v>
      </c>
      <c r="S392">
        <f>'B3 - COVID-19'!P10</f>
        <v>772.55232999999998</v>
      </c>
      <c r="U392">
        <f t="shared" si="17"/>
        <v>772.55232999999998</v>
      </c>
    </row>
    <row r="393" spans="1:21">
      <c r="A393" s="2894" t="str">
        <f>ORG!$S$1</f>
        <v>Jun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Jun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Jun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Jun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3.0114999999999998</v>
      </c>
      <c r="K396">
        <f>'B3 - COVID-19'!G14</f>
        <v>2.62175</v>
      </c>
      <c r="L396">
        <f>'B3 - COVID-19'!H14</f>
        <v>2.62175</v>
      </c>
      <c r="M396">
        <f>'B3 - COVID-19'!I14</f>
        <v>2.62175</v>
      </c>
      <c r="N396">
        <f>'B3 - COVID-19'!J14</f>
        <v>2.62175</v>
      </c>
      <c r="O396">
        <f>'B3 - COVID-19'!K14</f>
        <v>2.62175</v>
      </c>
      <c r="P396">
        <f>'B3 - COVID-19'!L14</f>
        <v>2.62175</v>
      </c>
      <c r="Q396">
        <f>'B3 - COVID-19'!M14</f>
        <v>2.62175</v>
      </c>
      <c r="R396">
        <f>'B3 - COVID-19'!N14</f>
        <v>2.62175</v>
      </c>
      <c r="S396">
        <f>'B3 - COVID-19'!P14</f>
        <v>32.992279999999994</v>
      </c>
      <c r="U396">
        <f t="shared" si="17"/>
        <v>32.992279999999994</v>
      </c>
    </row>
    <row r="397" spans="1:21">
      <c r="A397" s="2894" t="str">
        <f>ORG!$S$1</f>
        <v>Jun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Jun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51.173233333333322</v>
      </c>
      <c r="K398">
        <f>'B3 - COVID-19'!G16</f>
        <v>47.166899999999998</v>
      </c>
      <c r="L398">
        <f>'B3 - COVID-19'!H16</f>
        <v>61.45277500000001</v>
      </c>
      <c r="M398">
        <f>'B3 - COVID-19'!I16</f>
        <v>61.45277500000001</v>
      </c>
      <c r="N398">
        <f>'B3 - COVID-19'!J16</f>
        <v>61.45277500000001</v>
      </c>
      <c r="O398">
        <f>'B3 - COVID-19'!K16</f>
        <v>61.45277500000001</v>
      </c>
      <c r="P398">
        <f>'B3 - COVID-19'!L16</f>
        <v>61.45277500000001</v>
      </c>
      <c r="Q398">
        <f>'B3 - COVID-19'!M16</f>
        <v>61.45277500000001</v>
      </c>
      <c r="R398">
        <f>'B3 - COVID-19'!N16</f>
        <v>61.45277500000001</v>
      </c>
      <c r="S398">
        <f>'B3 - COVID-19'!P16</f>
        <v>615.64979833333337</v>
      </c>
      <c r="U398">
        <f t="shared" si="17"/>
        <v>615.64979833333337</v>
      </c>
    </row>
    <row r="399" spans="1:21">
      <c r="A399" s="2894" t="str">
        <f>ORG!$S$1</f>
        <v>Jun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Jun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Jun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82.425733333333312</v>
      </c>
      <c r="K401">
        <f>'B3 - COVID-19'!G19</f>
        <v>119.78748333333333</v>
      </c>
      <c r="L401">
        <f>'B3 - COVID-19'!H19</f>
        <v>150.6276766666667</v>
      </c>
      <c r="M401">
        <f>'B3 - COVID-19'!I19</f>
        <v>153.47057666666669</v>
      </c>
      <c r="N401">
        <f>'B3 - COVID-19'!J19</f>
        <v>153.47057666666669</v>
      </c>
      <c r="O401">
        <f>'B3 - COVID-19'!K19</f>
        <v>153.47057666666669</v>
      </c>
      <c r="P401">
        <f>'B3 - COVID-19'!L19</f>
        <v>153.47057666666669</v>
      </c>
      <c r="Q401">
        <f>'B3 - COVID-19'!M19</f>
        <v>150.6276766666667</v>
      </c>
      <c r="R401">
        <f>'B3 - COVID-19'!N19</f>
        <v>148.76744166666668</v>
      </c>
      <c r="S401">
        <f>'B3 - COVID-19'!P19</f>
        <v>1421.1944083333333</v>
      </c>
      <c r="U401">
        <f t="shared" si="17"/>
        <v>1421.1944083333333</v>
      </c>
    </row>
    <row r="402" spans="1:21">
      <c r="A402" s="2894" t="str">
        <f>ORG!$S$1</f>
        <v>Jun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Jun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Jun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Jun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952.85368042841526</v>
      </c>
      <c r="K405">
        <f>'B3 - COVID-19'!G23</f>
        <v>879.10368042841526</v>
      </c>
      <c r="L405">
        <f>'B3 - COVID-19'!H23</f>
        <v>942.2010017049181</v>
      </c>
      <c r="M405">
        <f>'B3 - COVID-19'!I23</f>
        <v>1112.1030789530055</v>
      </c>
      <c r="N405">
        <f>'B3 - COVID-19'!J23</f>
        <v>1123.345613180328</v>
      </c>
      <c r="O405">
        <f>'B3 - COVID-19'!K23</f>
        <v>1258.7280789530055</v>
      </c>
      <c r="P405">
        <f>'B3 - COVID-19'!L23</f>
        <v>1156.1030789530055</v>
      </c>
      <c r="Q405">
        <f>'B3 - COVID-19'!M23</f>
        <v>1067.0891474076502</v>
      </c>
      <c r="R405">
        <f>'B3 - COVID-19'!N23</f>
        <v>1194.2280789530055</v>
      </c>
      <c r="S405">
        <f>'B3 - COVID-19'!P23</f>
        <v>12126.826438961749</v>
      </c>
      <c r="U405">
        <f t="shared" si="17"/>
        <v>12126.826438961749</v>
      </c>
    </row>
    <row r="406" spans="1:21">
      <c r="A406" s="2894" t="str">
        <f>ORG!$S$1</f>
        <v>Jun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0</v>
      </c>
      <c r="K406">
        <f>'B3 - COVID-19'!G24</f>
        <v>0</v>
      </c>
      <c r="L406">
        <f>'B3 - COVID-19'!H24</f>
        <v>107.8</v>
      </c>
      <c r="M406">
        <f>'B3 - COVID-19'!I24</f>
        <v>0</v>
      </c>
      <c r="N406">
        <f>'B3 - COVID-19'!J24</f>
        <v>0</v>
      </c>
      <c r="O406">
        <f>'B3 - COVID-19'!K24</f>
        <v>107.8</v>
      </c>
      <c r="P406">
        <f>'B3 - COVID-19'!L24</f>
        <v>0</v>
      </c>
      <c r="Q406">
        <f>'B3 - COVID-19'!M24</f>
        <v>0</v>
      </c>
      <c r="R406">
        <f>'B3 - COVID-19'!N24</f>
        <v>107.8</v>
      </c>
      <c r="S406">
        <f>'B3 - COVID-19'!P24</f>
        <v>360.6</v>
      </c>
      <c r="U406">
        <f t="shared" si="17"/>
        <v>360.6</v>
      </c>
    </row>
    <row r="407" spans="1:21">
      <c r="A407" s="2894" t="str">
        <f>ORG!$S$1</f>
        <v>Jun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50</v>
      </c>
      <c r="M407">
        <f>'B3 - COVID-19'!I25</f>
        <v>0</v>
      </c>
      <c r="N407">
        <f>'B3 - COVID-19'!J25</f>
        <v>0</v>
      </c>
      <c r="O407">
        <f>'B3 - COVID-19'!K25</f>
        <v>0</v>
      </c>
      <c r="P407">
        <f>'B3 - COVID-19'!L25</f>
        <v>0</v>
      </c>
      <c r="Q407">
        <f>'B3 - COVID-19'!M25</f>
        <v>0</v>
      </c>
      <c r="R407">
        <f>'B3 - COVID-19'!N25</f>
        <v>50</v>
      </c>
      <c r="S407">
        <f>'B3 - COVID-19'!P25</f>
        <v>100</v>
      </c>
      <c r="U407">
        <f t="shared" si="17"/>
        <v>100</v>
      </c>
    </row>
    <row r="408" spans="1:21">
      <c r="A408" s="2894" t="str">
        <f>ORG!$S$1</f>
        <v>Jun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Jun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Jun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Jun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Jun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Jun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Jun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Jun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952.85368042841526</v>
      </c>
      <c r="K415">
        <f>'B3 - COVID-19'!G33</f>
        <v>879.10368042841526</v>
      </c>
      <c r="L415">
        <f>'B3 - COVID-19'!H33</f>
        <v>1100.0010017049181</v>
      </c>
      <c r="M415">
        <f>'B3 - COVID-19'!I33</f>
        <v>1112.1030789530055</v>
      </c>
      <c r="N415">
        <f>'B3 - COVID-19'!J33</f>
        <v>1123.345613180328</v>
      </c>
      <c r="O415">
        <f>'B3 - COVID-19'!K33</f>
        <v>1366.5280789530054</v>
      </c>
      <c r="P415">
        <f>'B3 - COVID-19'!L33</f>
        <v>1156.1030789530055</v>
      </c>
      <c r="Q415">
        <f>'B3 - COVID-19'!M33</f>
        <v>1067.0891474076502</v>
      </c>
      <c r="R415">
        <f>'B3 - COVID-19'!N33</f>
        <v>1352.0280789530054</v>
      </c>
      <c r="S415">
        <f>'B3 - COVID-19'!P33</f>
        <v>12587.426438961749</v>
      </c>
      <c r="U415">
        <f t="shared" si="17"/>
        <v>12587.426438961749</v>
      </c>
    </row>
    <row r="416" spans="1:21">
      <c r="A416" s="2894" t="str">
        <f>ORG!$S$1</f>
        <v>Jun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1035.2794137617486</v>
      </c>
      <c r="K416">
        <f>'B3 - COVID-19'!G34</f>
        <v>998.89116376174854</v>
      </c>
      <c r="L416">
        <f>'B3 - COVID-19'!H34</f>
        <v>1250.6286783715848</v>
      </c>
      <c r="M416">
        <f>'B3 - COVID-19'!I34</f>
        <v>1265.5736556196721</v>
      </c>
      <c r="N416">
        <f>'B3 - COVID-19'!J34</f>
        <v>1276.8161898469946</v>
      </c>
      <c r="O416">
        <f>'B3 - COVID-19'!K34</f>
        <v>1519.998655619672</v>
      </c>
      <c r="P416">
        <f>'B3 - COVID-19'!L34</f>
        <v>1309.5736556196721</v>
      </c>
      <c r="Q416">
        <f>'B3 - COVID-19'!M34</f>
        <v>1217.7168240743169</v>
      </c>
      <c r="R416">
        <f>'B3 - COVID-19'!N34</f>
        <v>1500.7955206196721</v>
      </c>
      <c r="S416">
        <f>'B3 - COVID-19'!P34</f>
        <v>14008.620847295082</v>
      </c>
      <c r="U416">
        <f t="shared" si="17"/>
        <v>14008.620847295082</v>
      </c>
    </row>
    <row r="417" spans="1:21">
      <c r="A417" s="2894" t="str">
        <f>ORG!$S$1</f>
        <v>Jun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Jun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-10.062364359338972</v>
      </c>
      <c r="K418">
        <f>'B3 - COVID-19'!G37</f>
        <v>16.825885640661113</v>
      </c>
      <c r="L418">
        <f>'B3 - COVID-19'!H37</f>
        <v>221.63148803934928</v>
      </c>
      <c r="M418">
        <f>'B3 - COVID-19'!I37</f>
        <v>6.1471065176604043</v>
      </c>
      <c r="N418">
        <f>'B3 - COVID-19'!J37</f>
        <v>0.12500114612271318</v>
      </c>
      <c r="O418">
        <f>'B3 - COVID-19'!K37</f>
        <v>281.27949818432694</v>
      </c>
      <c r="P418">
        <f>'B3 - COVID-19'!L37</f>
        <v>0.14710651766040428</v>
      </c>
      <c r="Q418">
        <f>'B3 - COVID-19'!M37</f>
        <v>-11.872159225414634</v>
      </c>
      <c r="R418">
        <f>'B3 - COVID-19'!N37</f>
        <v>223.89036540654911</v>
      </c>
      <c r="S418">
        <f>'B3 - COVID-19'!P37</f>
        <v>1431.3791503475877</v>
      </c>
      <c r="U418">
        <f t="shared" si="17"/>
        <v>1431.3791503475877</v>
      </c>
    </row>
    <row r="419" spans="1:21">
      <c r="A419" s="2894" t="str">
        <f>ORG!$S$1</f>
        <v>Jun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Jun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1035.2794137617486</v>
      </c>
      <c r="K420">
        <f>'B3 - COVID-19'!G42</f>
        <v>998.89116376174854</v>
      </c>
      <c r="L420">
        <f>'B3 - COVID-19'!H42</f>
        <v>1250.6286783715848</v>
      </c>
      <c r="M420">
        <f>'B3 - COVID-19'!I42</f>
        <v>1265.5736556196721</v>
      </c>
      <c r="N420">
        <f>'B3 - COVID-19'!J42</f>
        <v>1276.8161898469946</v>
      </c>
      <c r="O420">
        <f>'B3 - COVID-19'!K42</f>
        <v>1519.998655619672</v>
      </c>
      <c r="P420">
        <f>'B3 - COVID-19'!L42</f>
        <v>1309.5736556196721</v>
      </c>
      <c r="Q420">
        <f>'B3 - COVID-19'!M42</f>
        <v>1217.7168240743169</v>
      </c>
      <c r="R420">
        <f>'B3 - COVID-19'!N42</f>
        <v>1500.7955206196721</v>
      </c>
      <c r="S420">
        <f>'B3 - COVID-19'!P42</f>
        <v>14008.620847295082</v>
      </c>
      <c r="U420">
        <f t="shared" si="18"/>
        <v>14008.620847295082</v>
      </c>
    </row>
    <row r="421" spans="1:21">
      <c r="A421" s="2894" t="str">
        <f>ORG!$S$1</f>
        <v>Jun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Jun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1035.2794137617486</v>
      </c>
      <c r="K422">
        <f>'B3 - COVID-19'!G44</f>
        <v>998.89116376174854</v>
      </c>
      <c r="L422">
        <f>'B3 - COVID-19'!H44</f>
        <v>1250.6286783715848</v>
      </c>
      <c r="M422">
        <f>'B3 - COVID-19'!I44</f>
        <v>1265.5736556196721</v>
      </c>
      <c r="N422">
        <f>'B3 - COVID-19'!J44</f>
        <v>1276.8161898469946</v>
      </c>
      <c r="O422">
        <f>'B3 - COVID-19'!K44</f>
        <v>1519.998655619672</v>
      </c>
      <c r="P422">
        <f>'B3 - COVID-19'!L44</f>
        <v>1309.5736556196721</v>
      </c>
      <c r="Q422">
        <f>'B3 - COVID-19'!M44</f>
        <v>1217.7168240743169</v>
      </c>
      <c r="R422">
        <f>'B3 - COVID-19'!N44</f>
        <v>1500.7955206196721</v>
      </c>
      <c r="S422">
        <f>'B3 - COVID-19'!P44</f>
        <v>14008.620847295082</v>
      </c>
      <c r="U422">
        <f t="shared" si="18"/>
        <v>14008.620847295082</v>
      </c>
    </row>
    <row r="423" spans="1:21">
      <c r="A423" s="2894" t="str">
        <f>ORG!$S$1</f>
        <v>Jun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10.062364359338972</v>
      </c>
      <c r="K423">
        <f>'B3 - COVID-19'!G45</f>
        <v>-16.825885640661113</v>
      </c>
      <c r="L423">
        <f>'B3 - COVID-19'!H45</f>
        <v>-221.63148803934928</v>
      </c>
      <c r="M423">
        <f>'B3 - COVID-19'!I45</f>
        <v>-6.1471065176604043</v>
      </c>
      <c r="N423">
        <f>'B3 - COVID-19'!J45</f>
        <v>-0.12500114612271318</v>
      </c>
      <c r="O423">
        <f>'B3 - COVID-19'!K45</f>
        <v>-281.27949818432694</v>
      </c>
      <c r="P423">
        <f>'B3 - COVID-19'!L45</f>
        <v>-0.14710651766040428</v>
      </c>
      <c r="Q423">
        <f>'B3 - COVID-19'!M45</f>
        <v>11.872159225414634</v>
      </c>
      <c r="R423">
        <f>'B3 - COVID-19'!N45</f>
        <v>-223.89036540654911</v>
      </c>
      <c r="S423">
        <f>'B3 - COVID-19'!P45</f>
        <v>-1431.3789203475862</v>
      </c>
      <c r="U423">
        <f t="shared" si="18"/>
        <v>-1431.3789203475862</v>
      </c>
    </row>
    <row r="424" spans="1:21">
      <c r="A424" s="2894" t="str">
        <f>ORG!$S$1</f>
        <v>Jun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Jun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Jun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68.538249999999977</v>
      </c>
      <c r="K426">
        <f>'B3 - COVID-19'!G53</f>
        <v>61.801583333333326</v>
      </c>
      <c r="L426">
        <f>'B3 - COVID-19'!H53</f>
        <v>61.801583333333326</v>
      </c>
      <c r="M426">
        <f>'B3 - COVID-19'!I53</f>
        <v>61.801583333333326</v>
      </c>
      <c r="N426">
        <f>'B3 - COVID-19'!J53</f>
        <v>61.801583333333326</v>
      </c>
      <c r="O426">
        <f>'B3 - COVID-19'!K53</f>
        <v>61.801583333333326</v>
      </c>
      <c r="P426">
        <f>'B3 - COVID-19'!L53</f>
        <v>61.801583333333326</v>
      </c>
      <c r="Q426">
        <f>'B3 - COVID-19'!M53</f>
        <v>61.801583333333326</v>
      </c>
      <c r="R426">
        <f>'B3 - COVID-19'!N53</f>
        <v>61.801583333333326</v>
      </c>
      <c r="S426">
        <f>'B3 - COVID-19'!P53</f>
        <v>699.91833666666662</v>
      </c>
      <c r="U426">
        <f t="shared" si="17"/>
        <v>699.91833666666662</v>
      </c>
    </row>
    <row r="427" spans="1:21">
      <c r="A427" s="2894" t="str">
        <f>ORG!$S$1</f>
        <v>Jun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Jun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0</v>
      </c>
      <c r="L428">
        <f>'B3 - COVID-19'!H55</f>
        <v>0</v>
      </c>
      <c r="M428">
        <f>'B3 - COVID-19'!I55</f>
        <v>0</v>
      </c>
      <c r="N428">
        <f>'B3 - COVID-19'!J55</f>
        <v>0</v>
      </c>
      <c r="O428">
        <f>'B3 - COVID-19'!K55</f>
        <v>0</v>
      </c>
      <c r="P428">
        <f>'B3 - COVID-19'!L55</f>
        <v>0</v>
      </c>
      <c r="Q428">
        <f>'B3 - COVID-19'!M55</f>
        <v>0</v>
      </c>
      <c r="R428">
        <f>'B3 - COVID-19'!N55</f>
        <v>0</v>
      </c>
      <c r="S428">
        <f>'B3 - COVID-19'!P55</f>
        <v>0</v>
      </c>
      <c r="U428">
        <f t="shared" si="19"/>
        <v>0</v>
      </c>
    </row>
    <row r="429" spans="1:21">
      <c r="A429" s="2894" t="str">
        <f>ORG!$S$1</f>
        <v>Jun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Jun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Jun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Jun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20.422166666666669</v>
      </c>
      <c r="K432">
        <f>'B3 - COVID-19'!G59</f>
        <v>17.830416666666668</v>
      </c>
      <c r="L432">
        <f>'B3 - COVID-19'!H59</f>
        <v>17.830416666666668</v>
      </c>
      <c r="M432">
        <f>'B3 - COVID-19'!I59</f>
        <v>17.830416666666668</v>
      </c>
      <c r="N432">
        <f>'B3 - COVID-19'!J59</f>
        <v>17.830416666666668</v>
      </c>
      <c r="O432">
        <f>'B3 - COVID-19'!K59</f>
        <v>17.830416666666668</v>
      </c>
      <c r="P432">
        <f>'B3 - COVID-19'!L59</f>
        <v>17.830416666666668</v>
      </c>
      <c r="Q432">
        <f>'B3 - COVID-19'!M59</f>
        <v>17.830416666666668</v>
      </c>
      <c r="R432">
        <f>'B3 - COVID-19'!N59</f>
        <v>17.830416666666668</v>
      </c>
      <c r="S432">
        <f>'B3 - COVID-19'!P59</f>
        <v>220.46086000000005</v>
      </c>
      <c r="U432">
        <f t="shared" si="19"/>
        <v>220.46086000000005</v>
      </c>
    </row>
    <row r="433" spans="1:21">
      <c r="A433" s="2894" t="str">
        <f>ORG!$S$1</f>
        <v>Jun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Jun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Jun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88.960416666666646</v>
      </c>
      <c r="K435">
        <f>'B3 - COVID-19'!G62</f>
        <v>79.631999999999991</v>
      </c>
      <c r="L435">
        <f>'B3 - COVID-19'!H62</f>
        <v>79.631999999999991</v>
      </c>
      <c r="M435">
        <f>'B3 - COVID-19'!I62</f>
        <v>79.631999999999991</v>
      </c>
      <c r="N435">
        <f>'B3 - COVID-19'!J62</f>
        <v>79.631999999999991</v>
      </c>
      <c r="O435">
        <f>'B3 - COVID-19'!K62</f>
        <v>79.631999999999991</v>
      </c>
      <c r="P435">
        <f>'B3 - COVID-19'!L62</f>
        <v>79.631999999999991</v>
      </c>
      <c r="Q435">
        <f>'B3 - COVID-19'!M62</f>
        <v>79.631999999999991</v>
      </c>
      <c r="R435">
        <f>'B3 - COVID-19'!N62</f>
        <v>79.631999999999991</v>
      </c>
      <c r="S435">
        <f>'B3 - COVID-19'!P62</f>
        <v>920.37919666666664</v>
      </c>
      <c r="U435">
        <f t="shared" si="19"/>
        <v>920.37919666666664</v>
      </c>
    </row>
    <row r="436" spans="1:21">
      <c r="A436" s="2894" t="str">
        <f>ORG!$S$1</f>
        <v>Jun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Jun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Jun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Jun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44.177999999999997</v>
      </c>
      <c r="K439">
        <f>'B3 - COVID-19'!G66</f>
        <v>44.177999999999997</v>
      </c>
      <c r="L439">
        <f>'B3 - COVID-19'!H66</f>
        <v>104.178</v>
      </c>
      <c r="M439">
        <f>'B3 - COVID-19'!I66</f>
        <v>116.678</v>
      </c>
      <c r="N439">
        <f>'B3 - COVID-19'!J66</f>
        <v>31.678000000000001</v>
      </c>
      <c r="O439">
        <f>'B3 - COVID-19'!K66</f>
        <v>31.678000000000001</v>
      </c>
      <c r="P439">
        <f>'B3 - COVID-19'!L66</f>
        <v>31.678000000000001</v>
      </c>
      <c r="Q439">
        <f>'B3 - COVID-19'!M66</f>
        <v>63.964276650000002</v>
      </c>
      <c r="R439">
        <f>'B3 - COVID-19'!N66</f>
        <v>63.96227665</v>
      </c>
      <c r="S439">
        <f>'B3 - COVID-19'!P66</f>
        <v>569.62080330000003</v>
      </c>
      <c r="U439">
        <f t="shared" si="19"/>
        <v>569.62080330000003</v>
      </c>
    </row>
    <row r="440" spans="1:21">
      <c r="A440" s="2894" t="str">
        <f>ORG!$S$1</f>
        <v>Jun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Jun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Jun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Jun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Jun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Jun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Jun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Jun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Jun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Jun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44.177999999999997</v>
      </c>
      <c r="K449">
        <f>'B3 - COVID-19'!G76</f>
        <v>44.177999999999997</v>
      </c>
      <c r="L449">
        <f>'B3 - COVID-19'!H76</f>
        <v>104.178</v>
      </c>
      <c r="M449">
        <f>'B3 - COVID-19'!I76</f>
        <v>116.678</v>
      </c>
      <c r="N449">
        <f>'B3 - COVID-19'!J76</f>
        <v>31.678000000000001</v>
      </c>
      <c r="O449">
        <f>'B3 - COVID-19'!K76</f>
        <v>31.678000000000001</v>
      </c>
      <c r="P449">
        <f>'B3 - COVID-19'!L76</f>
        <v>31.678000000000001</v>
      </c>
      <c r="Q449">
        <f>'B3 - COVID-19'!M76</f>
        <v>63.964276650000002</v>
      </c>
      <c r="R449">
        <f>'B3 - COVID-19'!N76</f>
        <v>63.96227665</v>
      </c>
      <c r="S449">
        <f>'B3 - COVID-19'!P76</f>
        <v>569.62080330000003</v>
      </c>
      <c r="U449">
        <f t="shared" si="19"/>
        <v>569.62080330000003</v>
      </c>
    </row>
    <row r="450" spans="1:21">
      <c r="A450" s="2894" t="str">
        <f>ORG!$S$1</f>
        <v>Jun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133.13841666666664</v>
      </c>
      <c r="K450">
        <f>'B3 - COVID-19'!G77</f>
        <v>123.80999999999999</v>
      </c>
      <c r="L450">
        <f>'B3 - COVID-19'!H77</f>
        <v>183.81</v>
      </c>
      <c r="M450">
        <f>'B3 - COVID-19'!I77</f>
        <v>196.31</v>
      </c>
      <c r="N450">
        <f>'B3 - COVID-19'!J77</f>
        <v>111.30999999999999</v>
      </c>
      <c r="O450">
        <f>'B3 - COVID-19'!K77</f>
        <v>111.30999999999999</v>
      </c>
      <c r="P450">
        <f>'B3 - COVID-19'!L77</f>
        <v>111.30999999999999</v>
      </c>
      <c r="Q450">
        <f>'B3 - COVID-19'!M77</f>
        <v>143.59627664999999</v>
      </c>
      <c r="R450">
        <f>'B3 - COVID-19'!N77</f>
        <v>143.59427664999998</v>
      </c>
      <c r="S450">
        <f>'B3 - COVID-19'!P77</f>
        <v>1489.9999999666666</v>
      </c>
      <c r="U450">
        <f t="shared" si="19"/>
        <v>1489.9999999666666</v>
      </c>
    </row>
    <row r="451" spans="1:21">
      <c r="A451" s="2894" t="str">
        <f>ORG!$S$1</f>
        <v>Jun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Jun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-13.611231818181807</v>
      </c>
      <c r="K452">
        <f>'B3 - COVID-19'!G80</f>
        <v>-4.2828151515151518</v>
      </c>
      <c r="L452">
        <f>'B3 - COVID-19'!H80</f>
        <v>-4.282815151515166</v>
      </c>
      <c r="M452">
        <f>'B3 - COVID-19'!I80</f>
        <v>-29.282815151515166</v>
      </c>
      <c r="N452">
        <f>'B3 - COVID-19'!J80</f>
        <v>-4.2828151515151518</v>
      </c>
      <c r="O452">
        <f>'B3 - COVID-19'!K80</f>
        <v>-4.2828151515151518</v>
      </c>
      <c r="P452">
        <f>'B3 - COVID-19'!L80</f>
        <v>-4.2828151515151518</v>
      </c>
      <c r="Q452">
        <f>'B3 - COVID-19'!M80</f>
        <v>15.282013198484862</v>
      </c>
      <c r="R452">
        <f>'B3 - COVID-19'!N80</f>
        <v>15.284013198484871</v>
      </c>
      <c r="S452">
        <f>'B3 - COVID-19'!P80</f>
        <v>3.3666667604848044E-6</v>
      </c>
      <c r="U452">
        <f t="shared" si="19"/>
        <v>3.3666667604848044E-6</v>
      </c>
    </row>
    <row r="453" spans="1:21">
      <c r="A453" s="2894" t="str">
        <f>ORG!$S$1</f>
        <v>Jun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Jun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82.17770999999999</v>
      </c>
      <c r="J454">
        <f>'B3 - COVID-19'!F85</f>
        <v>133.13841666666664</v>
      </c>
      <c r="K454">
        <f>'B3 - COVID-19'!G85</f>
        <v>123.80999999999999</v>
      </c>
      <c r="L454">
        <f>'B3 - COVID-19'!H85</f>
        <v>183.81</v>
      </c>
      <c r="M454">
        <f>'B3 - COVID-19'!I85</f>
        <v>196.31</v>
      </c>
      <c r="N454">
        <f>'B3 - COVID-19'!J85</f>
        <v>111.30999999999999</v>
      </c>
      <c r="O454">
        <f>'B3 - COVID-19'!K85</f>
        <v>111.30999999999999</v>
      </c>
      <c r="P454">
        <f>'B3 - COVID-19'!L85</f>
        <v>111.30999999999999</v>
      </c>
      <c r="Q454">
        <f>'B3 - COVID-19'!M85</f>
        <v>143.59618</v>
      </c>
      <c r="R454">
        <f>'B3 - COVID-19'!N85</f>
        <v>143.59417999999999</v>
      </c>
      <c r="S454">
        <f>'B3 - COVID-19'!P85</f>
        <v>1489.9998466666666</v>
      </c>
      <c r="U454">
        <f t="shared" si="20"/>
        <v>1489.9998466666666</v>
      </c>
    </row>
    <row r="455" spans="1:21">
      <c r="A455" s="2894" t="str">
        <f>ORG!$S$1</f>
        <v>Jun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Jun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82.17770999999999</v>
      </c>
      <c r="J456">
        <f>'B3 - COVID-19'!F87</f>
        <v>133.13841666666664</v>
      </c>
      <c r="K456">
        <f>'B3 - COVID-19'!G87</f>
        <v>123.80999999999999</v>
      </c>
      <c r="L456">
        <f>'B3 - COVID-19'!H87</f>
        <v>183.81</v>
      </c>
      <c r="M456">
        <f>'B3 - COVID-19'!I87</f>
        <v>196.31</v>
      </c>
      <c r="N456">
        <f>'B3 - COVID-19'!J87</f>
        <v>111.30999999999999</v>
      </c>
      <c r="O456">
        <f>'B3 - COVID-19'!K87</f>
        <v>111.30999999999999</v>
      </c>
      <c r="P456">
        <f>'B3 - COVID-19'!L87</f>
        <v>111.30999999999999</v>
      </c>
      <c r="Q456">
        <f>'B3 - COVID-19'!M87</f>
        <v>143.59618</v>
      </c>
      <c r="R456">
        <f>'B3 - COVID-19'!N87</f>
        <v>143.59417999999999</v>
      </c>
      <c r="S456">
        <f>'B3 - COVID-19'!P87</f>
        <v>1489.9998466666666</v>
      </c>
      <c r="U456">
        <f t="shared" si="20"/>
        <v>1489.9998466666666</v>
      </c>
    </row>
    <row r="457" spans="1:21">
      <c r="A457" s="2894" t="str">
        <f>ORG!$S$1</f>
        <v>Jun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-37.349474848484846</v>
      </c>
      <c r="J457">
        <f>'B3 - COVID-19'!F88</f>
        <v>13.611231818181807</v>
      </c>
      <c r="K457">
        <f>'B3 - COVID-19'!G88</f>
        <v>4.2828151515151518</v>
      </c>
      <c r="L457">
        <f>'B3 - COVID-19'!H88</f>
        <v>4.282815151515166</v>
      </c>
      <c r="M457">
        <f>'B3 - COVID-19'!I88</f>
        <v>29.282815151515166</v>
      </c>
      <c r="N457">
        <f>'B3 - COVID-19'!J88</f>
        <v>4.2828151515151518</v>
      </c>
      <c r="O457">
        <f>'B3 - COVID-19'!K88</f>
        <v>4.2828151515151518</v>
      </c>
      <c r="P457">
        <f>'B3 - COVID-19'!L88</f>
        <v>4.2828151515151518</v>
      </c>
      <c r="Q457">
        <f>'B3 - COVID-19'!M88</f>
        <v>-15.282109848484851</v>
      </c>
      <c r="R457">
        <f>'B3 - COVID-19'!N88</f>
        <v>-15.28410984848486</v>
      </c>
      <c r="S457">
        <f>'B3 - COVID-19'!P88</f>
        <v>-1.9666666662487842E-4</v>
      </c>
      <c r="U457">
        <f t="shared" si="20"/>
        <v>-1.9666666662487842E-4</v>
      </c>
    </row>
    <row r="458" spans="1:21">
      <c r="A458" s="2894" t="str">
        <f>ORG!$S$1</f>
        <v>Jun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-9.6649999989040225E-5</v>
      </c>
      <c r="R458">
        <f>'B3 - COVID-19'!N90</f>
        <v>-9.6649999989040225E-5</v>
      </c>
      <c r="S458">
        <f>'B3 - COVID-19'!P90</f>
        <v>-1.532999999653839E-4</v>
      </c>
      <c r="U458">
        <f t="shared" ref="U458" si="21">S458+T458</f>
        <v>-1.532999999653839E-4</v>
      </c>
    </row>
    <row r="459" spans="1:21">
      <c r="A459" s="2894" t="str">
        <f>ORG!$S$1</f>
        <v>Jun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Jun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Jun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Jun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Jun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Jun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Jun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Jun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Jun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Jun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Jun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Jun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Jun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Jun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Jun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Jun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Jun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Jun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Jun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Jun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Jun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Jun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Jun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Jun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Jun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Jun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Jun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Jun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Jun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Jun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Jun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Jun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Jun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Jun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Jun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Jun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Jun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Jun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Jun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Jun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Jun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Jun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Jun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Jun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Jun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Jun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1168.4178304284153</v>
      </c>
      <c r="K504">
        <f>'B3 - COVID-19'!G148</f>
        <v>1122.7011637617486</v>
      </c>
      <c r="L504">
        <f>'B3 - COVID-19'!H148</f>
        <v>1434.4386783715847</v>
      </c>
      <c r="M504">
        <f>'B3 - COVID-19'!I148</f>
        <v>1461.883655619672</v>
      </c>
      <c r="N504">
        <f>'B3 - COVID-19'!J148</f>
        <v>1388.1261898469945</v>
      </c>
      <c r="O504">
        <f>'B3 - COVID-19'!K148</f>
        <v>1631.308655619672</v>
      </c>
      <c r="P504">
        <f>'B3 - COVID-19'!L148</f>
        <v>1420.883655619672</v>
      </c>
      <c r="Q504">
        <f>'B3 - COVID-19'!M148</f>
        <v>1361.3131007243169</v>
      </c>
      <c r="R504">
        <f>'B3 - COVID-19'!N148</f>
        <v>1644.389797269672</v>
      </c>
      <c r="S504">
        <f>'B3 - COVID-19'!P148</f>
        <v>15498.620847261747</v>
      </c>
      <c r="U504">
        <f t="shared" si="24"/>
        <v>15498.620847261747</v>
      </c>
    </row>
    <row r="505" spans="1:21">
      <c r="A505" s="2894" t="str">
        <f>ORG!$S$1</f>
        <v>Jun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-23.673596177520722</v>
      </c>
      <c r="K505">
        <f>'B3 - COVID-19'!G149</f>
        <v>12.543070489145975</v>
      </c>
      <c r="L505">
        <f>'B3 - COVID-19'!H149</f>
        <v>217.34867288783425</v>
      </c>
      <c r="M505">
        <f>'B3 - COVID-19'!I149</f>
        <v>-23.13570863385462</v>
      </c>
      <c r="N505">
        <f>'B3 - COVID-19'!J149</f>
        <v>-4.1578140053923107</v>
      </c>
      <c r="O505">
        <f>'B3 - COVID-19'!K149</f>
        <v>276.99668303281192</v>
      </c>
      <c r="P505">
        <f>'B3 - COVID-19'!L149</f>
        <v>-4.1357086338546196</v>
      </c>
      <c r="Q505">
        <f>'B3 - COVID-19'!M149</f>
        <v>3.4098539730703123</v>
      </c>
      <c r="R505">
        <f>'B3 - COVID-19'!N149</f>
        <v>239.17437860503401</v>
      </c>
      <c r="S505">
        <f>'B3 - COVID-19'!P149</f>
        <v>1431.3791537142542</v>
      </c>
      <c r="U505">
        <f t="shared" si="24"/>
        <v>1431.3791537142542</v>
      </c>
    </row>
    <row r="506" spans="1:21">
      <c r="A506" s="2894" t="str">
        <f>ORG!$S$1</f>
        <v>Jun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Jun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984.98723000000007</v>
      </c>
      <c r="H507">
        <f>'B3 - COVID-19'!D152</f>
        <v>918.43759999999997</v>
      </c>
      <c r="I507">
        <f>'B3 - COVID-19'!E152</f>
        <v>961.73333000000002</v>
      </c>
      <c r="J507">
        <f>'B3 - COVID-19'!F152</f>
        <v>1168.4178304284153</v>
      </c>
      <c r="K507">
        <f>'B3 - COVID-19'!G152</f>
        <v>1122.7011637617486</v>
      </c>
      <c r="L507">
        <f>'B3 - COVID-19'!H152</f>
        <v>1434.4386783715847</v>
      </c>
      <c r="M507">
        <f>'B3 - COVID-19'!I152</f>
        <v>1461.883655619672</v>
      </c>
      <c r="N507">
        <f>'B3 - COVID-19'!J152</f>
        <v>1388.1261898469945</v>
      </c>
      <c r="O507">
        <f>'B3 - COVID-19'!K152</f>
        <v>1631.308655619672</v>
      </c>
      <c r="P507">
        <f>'B3 - COVID-19'!L152</f>
        <v>1420.883655619672</v>
      </c>
      <c r="Q507">
        <f>'B3 - COVID-19'!M152</f>
        <v>1361.313004074317</v>
      </c>
      <c r="R507">
        <f>'B3 - COVID-19'!N152</f>
        <v>1644.3897006196721</v>
      </c>
      <c r="S507">
        <f>'B3 - COVID-19'!P152</f>
        <v>15498.620693961748</v>
      </c>
      <c r="U507">
        <f t="shared" si="24"/>
        <v>15498.620693961748</v>
      </c>
    </row>
    <row r="508" spans="1:21">
      <c r="A508" s="2894" t="str">
        <f>ORG!$S$1</f>
        <v>Jun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Jun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984.98723000000007</v>
      </c>
      <c r="H509">
        <f>'B3 - COVID-19'!D154</f>
        <v>918.43759999999997</v>
      </c>
      <c r="I509">
        <f>'B3 - COVID-19'!E154</f>
        <v>961.73333000000002</v>
      </c>
      <c r="J509">
        <f>'B3 - COVID-19'!F154</f>
        <v>1168.4178304284153</v>
      </c>
      <c r="K509">
        <f>'B3 - COVID-19'!G154</f>
        <v>1122.7011637617486</v>
      </c>
      <c r="L509">
        <f>'B3 - COVID-19'!H154</f>
        <v>1434.4386783715847</v>
      </c>
      <c r="M509">
        <f>'B3 - COVID-19'!I154</f>
        <v>1461.883655619672</v>
      </c>
      <c r="N509">
        <f>'B3 - COVID-19'!J154</f>
        <v>1388.1261898469945</v>
      </c>
      <c r="O509">
        <f>'B3 - COVID-19'!K154</f>
        <v>1631.308655619672</v>
      </c>
      <c r="P509">
        <f>'B3 - COVID-19'!L154</f>
        <v>1420.883655619672</v>
      </c>
      <c r="Q509">
        <f>'B3 - COVID-19'!M154</f>
        <v>1361.313004074317</v>
      </c>
      <c r="R509">
        <f>'B3 - COVID-19'!N154</f>
        <v>1644.3897006196721</v>
      </c>
      <c r="S509">
        <f>'B3 - COVID-19'!P154</f>
        <v>15498.620693961748</v>
      </c>
      <c r="U509">
        <f t="shared" si="24"/>
        <v>15498.620693961748</v>
      </c>
    </row>
    <row r="510" spans="1:21">
      <c r="A510" s="2894" t="str">
        <f>ORG!$S$1</f>
        <v>Jun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2.3000000010142685E-4</v>
      </c>
      <c r="H510">
        <f>'B3 - COVID-19'!D155</f>
        <v>-128.49630925089446</v>
      </c>
      <c r="I510">
        <f>'B3 - COVID-19'!E155</f>
        <v>-608.51301292608559</v>
      </c>
      <c r="J510">
        <f>'B3 - COVID-19'!F155</f>
        <v>23.673596177520722</v>
      </c>
      <c r="K510">
        <f>'B3 - COVID-19'!G155</f>
        <v>-12.543070489145975</v>
      </c>
      <c r="L510">
        <f>'B3 - COVID-19'!H155</f>
        <v>-217.34867288783425</v>
      </c>
      <c r="M510">
        <f>'B3 - COVID-19'!I155</f>
        <v>23.13570863385462</v>
      </c>
      <c r="N510">
        <f>'B3 - COVID-19'!J155</f>
        <v>4.1578140053923107</v>
      </c>
      <c r="O510">
        <f>'B3 - COVID-19'!K155</f>
        <v>-276.99668303281192</v>
      </c>
      <c r="P510">
        <f>'B3 - COVID-19'!L155</f>
        <v>4.1357086338546196</v>
      </c>
      <c r="Q510">
        <f>'B3 - COVID-19'!M155</f>
        <v>-3.4099506230702445</v>
      </c>
      <c r="R510">
        <f>'B3 - COVID-19'!N155</f>
        <v>-239.17447525503394</v>
      </c>
      <c r="S510">
        <f>'B3 - COVID-19'!P155</f>
        <v>-1431.379117014254</v>
      </c>
      <c r="U510">
        <f t="shared" si="24"/>
        <v>-1431.379117014254</v>
      </c>
    </row>
    <row r="511" spans="1:21">
      <c r="A511" s="2894" t="str">
        <f>ORG!$S$1</f>
        <v>Jun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Jun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4.0000000012696546E-5</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-9.6649999932196806E-5</v>
      </c>
      <c r="R512">
        <f>'B3 - COVID-19'!N158</f>
        <v>-9.6649999932196806E-5</v>
      </c>
      <c r="S512">
        <f>'B3 - COVID-19'!P158</f>
        <v>-1.5329999985169707E-4</v>
      </c>
      <c r="U512">
        <f t="shared" ref="U512:U513" si="25">S512+T512</f>
        <v>-1.5329999985169707E-4</v>
      </c>
    </row>
    <row r="513" spans="1:21">
      <c r="A513" s="2894" t="str">
        <f>ORG!$S$1</f>
        <v>Jun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2.3000000010142685E-4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-9.6649999932196806E-5</v>
      </c>
      <c r="R513">
        <f>'B3 - COVID-19'!N159</f>
        <v>-9.6649999932196806E-5</v>
      </c>
      <c r="S513">
        <f>'B3 - COVID-19'!P159</f>
        <v>3.6700000237033237E-5</v>
      </c>
      <c r="U513">
        <f t="shared" si="25"/>
        <v>3.6700000237033237E-5</v>
      </c>
    </row>
    <row r="514" spans="1:21">
      <c r="A514" s="2894" t="str">
        <f>ORG!$S$1</f>
        <v>Jun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Jun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Jun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43.62764</v>
      </c>
      <c r="K516">
        <f>'B3 - COVID-19'!W23</f>
        <v>43.62764</v>
      </c>
      <c r="L516">
        <f>'B3 - COVID-19'!X23</f>
        <v>43.62764</v>
      </c>
      <c r="M516">
        <f>'B3 - COVID-19'!Y23</f>
        <v>43.62764</v>
      </c>
      <c r="N516">
        <f>'B3 - COVID-19'!Z23</f>
        <v>43.62764</v>
      </c>
      <c r="O516">
        <f>'B3 - COVID-19'!AA23</f>
        <v>43.62764</v>
      </c>
      <c r="P516">
        <f>'B3 - COVID-19'!AB23</f>
        <v>43.62764</v>
      </c>
      <c r="Q516">
        <f>'B3 - COVID-19'!AC23</f>
        <v>43.62764</v>
      </c>
      <c r="R516">
        <f>'B3 - COVID-19'!AD23</f>
        <v>43.62764</v>
      </c>
      <c r="S516">
        <f>'B3 - COVID-19'!AF23</f>
        <v>523.53166999999985</v>
      </c>
      <c r="U516">
        <f t="shared" si="23"/>
        <v>523.53166999999985</v>
      </c>
    </row>
    <row r="517" spans="1:21">
      <c r="A517" s="2894" t="str">
        <f>ORG!$S$1</f>
        <v>Jun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706.86973999999998</v>
      </c>
      <c r="J517">
        <f>'B3 - COVID-19'!V24</f>
        <v>569.81143162841522</v>
      </c>
      <c r="K517">
        <f>'B3 - COVID-19'!W24</f>
        <v>569.81143162841522</v>
      </c>
      <c r="L517">
        <f>'B3 - COVID-19'!X24</f>
        <v>551.43041770491811</v>
      </c>
      <c r="M517">
        <f>'B3 - COVID-19'!Y24</f>
        <v>782.2788301530054</v>
      </c>
      <c r="N517">
        <f>'B3 - COVID-19'!Z24</f>
        <v>757.04402918032781</v>
      </c>
      <c r="O517">
        <f>'B3 - COVID-19'!AA24</f>
        <v>782.2788301530054</v>
      </c>
      <c r="P517">
        <f>'B3 - COVID-19'!AB24</f>
        <v>782.2788301530054</v>
      </c>
      <c r="Q517">
        <f>'B3 - COVID-19'!AC24</f>
        <v>731.80922820765022</v>
      </c>
      <c r="R517">
        <f>'B3 - COVID-19'!AD24</f>
        <v>782.2788301530054</v>
      </c>
      <c r="S517">
        <f>'B3 - COVID-19'!AF24</f>
        <v>8331.0874789617483</v>
      </c>
      <c r="U517">
        <f t="shared" si="23"/>
        <v>8331.0874789617483</v>
      </c>
    </row>
    <row r="518" spans="1:21">
      <c r="A518" s="2894" t="str">
        <f>ORG!$S$1</f>
        <v>Jun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12</v>
      </c>
      <c r="K518">
        <f>'B3 - COVID-19'!W25</f>
        <v>12</v>
      </c>
      <c r="L518">
        <f>'B3 - COVID-19'!X25</f>
        <v>12</v>
      </c>
      <c r="M518">
        <f>'B3 - COVID-19'!Y25</f>
        <v>12</v>
      </c>
      <c r="N518">
        <f>'B3 - COVID-19'!Z25</f>
        <v>15</v>
      </c>
      <c r="O518">
        <f>'B3 - COVID-19'!AA25</f>
        <v>15</v>
      </c>
      <c r="P518">
        <f>'B3 - COVID-19'!AB25</f>
        <v>15</v>
      </c>
      <c r="Q518">
        <f>'B3 - COVID-19'!AC25</f>
        <v>12</v>
      </c>
      <c r="R518">
        <f>'B3 - COVID-19'!AD25</f>
        <v>12</v>
      </c>
      <c r="S518">
        <f>'B3 - COVID-19'!AF25</f>
        <v>158.07470000000001</v>
      </c>
      <c r="U518">
        <f t="shared" si="23"/>
        <v>158.07470000000001</v>
      </c>
    </row>
    <row r="519" spans="1:21">
      <c r="A519" s="2894" t="str">
        <f>ORG!$S$1</f>
        <v>Jun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8.5999999999999993E-2</v>
      </c>
      <c r="K519">
        <f>'B3 - COVID-19'!W26</f>
        <v>8.5999999999999993E-2</v>
      </c>
      <c r="L519">
        <f>'B3 - COVID-19'!X26</f>
        <v>8.3000000000000004E-2</v>
      </c>
      <c r="M519">
        <f>'B3 - COVID-19'!Y26</f>
        <v>0.11799999999999999</v>
      </c>
      <c r="N519">
        <f>'B3 - COVID-19'!Z26</f>
        <v>0.114</v>
      </c>
      <c r="O519">
        <f>'B3 - COVID-19'!AA26</f>
        <v>0.11799999999999999</v>
      </c>
      <c r="P519">
        <f>'B3 - COVID-19'!AB26</f>
        <v>0.11799999999999999</v>
      </c>
      <c r="Q519">
        <f>'B3 - COVID-19'!AC26</f>
        <v>0.111</v>
      </c>
      <c r="R519">
        <f>'B3 - COVID-19'!AD26</f>
        <v>0.11799999999999999</v>
      </c>
      <c r="S519">
        <f>'B3 - COVID-19'!AF26</f>
        <v>7.1244700000000014</v>
      </c>
      <c r="U519">
        <f t="shared" si="23"/>
        <v>7.1244700000000014</v>
      </c>
    </row>
    <row r="520" spans="1:21">
      <c r="A520" s="2894" t="str">
        <f>ORG!$S$1</f>
        <v>Jun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233.07860880000001</v>
      </c>
      <c r="K520">
        <f>'B3 - COVID-19'!W27</f>
        <v>233.07860880000001</v>
      </c>
      <c r="L520">
        <f>'B3 - COVID-19'!X27</f>
        <v>225.55994400000003</v>
      </c>
      <c r="M520">
        <f>'B3 - COVID-19'!Y27</f>
        <v>233.07860880000001</v>
      </c>
      <c r="N520">
        <f>'B3 - COVID-19'!Z27</f>
        <v>225.55994400000003</v>
      </c>
      <c r="O520">
        <f>'B3 - COVID-19'!AA27</f>
        <v>233.07860880000001</v>
      </c>
      <c r="P520">
        <f>'B3 - COVID-19'!AB27</f>
        <v>233.07860880000001</v>
      </c>
      <c r="Q520">
        <f>'B3 - COVID-19'!AC27</f>
        <v>218.04127919999996</v>
      </c>
      <c r="R520">
        <f>'B3 - COVID-19'!AD27</f>
        <v>233.07860880000001</v>
      </c>
      <c r="S520">
        <f>'B3 - COVID-19'!AF27</f>
        <v>2216.5509999999999</v>
      </c>
      <c r="U520">
        <f t="shared" si="23"/>
        <v>2216.5509999999999</v>
      </c>
    </row>
    <row r="521" spans="1:21">
      <c r="A521" s="2894" t="str">
        <f>ORG!$S$1</f>
        <v>Jun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20.5</v>
      </c>
      <c r="K521">
        <f>'B3 - COVID-19'!W28</f>
        <v>20.5</v>
      </c>
      <c r="L521">
        <f>'B3 - COVID-19'!X28</f>
        <v>30.75</v>
      </c>
      <c r="M521">
        <f>'B3 - COVID-19'!Y28</f>
        <v>41</v>
      </c>
      <c r="N521">
        <f>'B3 - COVID-19'!Z28</f>
        <v>82</v>
      </c>
      <c r="O521">
        <f>'B3 - COVID-19'!AA28</f>
        <v>102.5</v>
      </c>
      <c r="P521">
        <f>'B3 - COVID-19'!AB28</f>
        <v>82</v>
      </c>
      <c r="Q521">
        <f>'B3 - COVID-19'!AC28</f>
        <v>61.5</v>
      </c>
      <c r="R521">
        <f>'B3 - COVID-19'!AD28</f>
        <v>41</v>
      </c>
      <c r="S521">
        <f>'B3 - COVID-19'!AF28</f>
        <v>573.36582999999996</v>
      </c>
      <c r="U521">
        <f t="shared" si="23"/>
        <v>573.36582999999996</v>
      </c>
    </row>
    <row r="522" spans="1:21">
      <c r="A522" s="2894" t="str">
        <f>ORG!$S$1</f>
        <v>Jun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73.75</v>
      </c>
      <c r="K522">
        <f>'B3 - COVID-19'!W29</f>
        <v>0</v>
      </c>
      <c r="L522">
        <f>'B3 - COVID-19'!X29</f>
        <v>78.75</v>
      </c>
      <c r="M522">
        <f>'B3 - COVID-19'!Y29</f>
        <v>0</v>
      </c>
      <c r="N522">
        <f>'B3 - COVID-19'!Z29</f>
        <v>0</v>
      </c>
      <c r="O522">
        <f>'B3 - COVID-19'!AA29</f>
        <v>82.125</v>
      </c>
      <c r="P522">
        <f>'B3 - COVID-19'!AB29</f>
        <v>0</v>
      </c>
      <c r="Q522">
        <f>'B3 - COVID-19'!AC29</f>
        <v>0</v>
      </c>
      <c r="R522">
        <f>'B3 - COVID-19'!AD29</f>
        <v>82.125</v>
      </c>
      <c r="S522">
        <f>'B3 - COVID-19'!AF29</f>
        <v>317.09129000000001</v>
      </c>
      <c r="U522">
        <f t="shared" si="23"/>
        <v>317.09129000000001</v>
      </c>
    </row>
    <row r="523" spans="1:21">
      <c r="A523" s="2894" t="str">
        <f>ORG!$S$1</f>
        <v>Jun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0</v>
      </c>
      <c r="S523">
        <f>'B3 - COVID-19'!AF30</f>
        <v>0</v>
      </c>
      <c r="U523">
        <f t="shared" si="23"/>
        <v>0</v>
      </c>
    </row>
    <row r="524" spans="1:21">
      <c r="A524" s="2894" t="str">
        <f>ORG!$S$1</f>
        <v>Jun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v>
      </c>
      <c r="G524">
        <f>'B3 - COVID-19'!S31</f>
        <v>0</v>
      </c>
      <c r="H524">
        <f>'B3 - COVID-19'!T31</f>
        <v>0</v>
      </c>
      <c r="I524">
        <f>'B3 - COVID-19'!U31</f>
        <v>0</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0</v>
      </c>
      <c r="U524">
        <f t="shared" si="23"/>
        <v>0</v>
      </c>
    </row>
    <row r="525" spans="1:21">
      <c r="A525" s="2894" t="str">
        <f>ORG!$S$1</f>
        <v>Jun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0</v>
      </c>
      <c r="Q525">
        <f>'B3 - COVID-19'!AC32</f>
        <v>0</v>
      </c>
      <c r="R525">
        <f>'B3 - COVID-19'!AD32</f>
        <v>0</v>
      </c>
      <c r="S525">
        <f>'B3 - COVID-19'!AF32</f>
        <v>0</v>
      </c>
      <c r="U525">
        <f t="shared" si="23"/>
        <v>0</v>
      </c>
    </row>
    <row r="526" spans="1:21">
      <c r="A526" s="2894" t="str">
        <f>ORG!$S$1</f>
        <v>Jun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Jun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952.85368042841526</v>
      </c>
      <c r="K527">
        <f>'B3 - COVID-19'!W34</f>
        <v>879.10368042841526</v>
      </c>
      <c r="L527">
        <f>'B3 - COVID-19'!X34</f>
        <v>942.2010017049181</v>
      </c>
      <c r="M527">
        <f>'B3 - COVID-19'!Y34</f>
        <v>1112.1030789530055</v>
      </c>
      <c r="N527">
        <f>'B3 - COVID-19'!Z34</f>
        <v>1123.345613180328</v>
      </c>
      <c r="O527">
        <f>'B3 - COVID-19'!AA34</f>
        <v>1258.7280789530055</v>
      </c>
      <c r="P527">
        <f>'B3 - COVID-19'!AB34</f>
        <v>1156.1030789530055</v>
      </c>
      <c r="Q527">
        <f>'B3 - COVID-19'!AC34</f>
        <v>1067.0891474076502</v>
      </c>
      <c r="R527">
        <f>'B3 - COVID-19'!AD34</f>
        <v>1194.2280789530055</v>
      </c>
      <c r="S527">
        <f>'B3 - COVID-19'!AF34</f>
        <v>12126.826438961749</v>
      </c>
      <c r="U527">
        <f t="shared" si="23"/>
        <v>12126.826438961749</v>
      </c>
    </row>
    <row r="528" spans="1:21">
      <c r="A528" s="2894" t="str">
        <f>ORG!$S$1</f>
        <v>Jun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Jun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Jun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Jun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Jun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Jun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Jun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Jun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Jun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Jun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Jun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Jun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Jun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Jun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Jun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Jun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Jun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Jun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Jun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Jun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Jun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Jun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Jun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Jun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Jun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Jun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Jun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Jun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Jun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Jun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Jun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Jun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Jun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Jun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Jun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Jun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Jun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Jun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Jun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Jun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Jun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Jun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Jun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Jun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Jun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Jun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Jun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Jun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Jun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Jun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Jun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Jun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Jun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Jun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Jun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Jun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Jun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Jun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Jun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Jun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Jun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Jun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Jun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Jun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Jun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Jun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Jun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Jun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Jun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Jun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Jun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Jun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Jun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Jun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Jun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Jun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Jun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Jun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Jun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1595.25</v>
      </c>
      <c r="U606">
        <f t="shared" si="29"/>
        <v>1595.25</v>
      </c>
    </row>
    <row r="607" spans="1:21">
      <c r="A607" s="2894" t="str">
        <f>ORG!$S$1</f>
        <v>Jun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1595.25</v>
      </c>
      <c r="U607">
        <f t="shared" si="29"/>
        <v>1595.25</v>
      </c>
    </row>
    <row r="608" spans="1:21">
      <c r="A608" s="2894" t="str">
        <f>ORG!$S$1</f>
        <v>Jun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Jun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Jun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Jun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Jun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1595.25</v>
      </c>
      <c r="U612">
        <f t="shared" si="29"/>
        <v>1595.25</v>
      </c>
    </row>
    <row r="613" spans="1:21">
      <c r="A613" s="2894" t="str">
        <f>ORG!$S$1</f>
        <v>Jun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1595.25</v>
      </c>
      <c r="U613">
        <f t="shared" si="29"/>
        <v>1595.25</v>
      </c>
    </row>
    <row r="614" spans="1:21">
      <c r="A614" s="2894" t="str">
        <f>ORG!$S$1</f>
        <v>Jun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Jun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Jun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Jun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Jun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Jun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Jun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Jun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Jun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Jun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Jun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Jun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4" t="str">
        <f>ORG!$S$1</f>
        <v>Jun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Jun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Jun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Jun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2075</v>
      </c>
      <c r="U629">
        <f t="shared" si="29"/>
        <v>2075</v>
      </c>
    </row>
    <row r="630" spans="1:21">
      <c r="A630" s="2894" t="str">
        <f>ORG!$S$1</f>
        <v>Jun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Jun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32575</v>
      </c>
      <c r="U631">
        <f t="shared" si="29"/>
        <v>32575</v>
      </c>
    </row>
    <row r="632" spans="1:21">
      <c r="A632" s="2894" t="str">
        <f>ORG!$S$1</f>
        <v>Jun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Jun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Jun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Jun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Jun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Jun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Jun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Jun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Jun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Jun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Jun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4" t="str">
        <f>ORG!$S$1</f>
        <v>Jun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Jun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144</v>
      </c>
      <c r="U644">
        <f t="shared" si="29"/>
        <v>144</v>
      </c>
    </row>
    <row r="645" spans="1:21">
      <c r="A645" s="2894" t="str">
        <f>ORG!$S$1</f>
        <v>Jun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Jun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Jun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Jun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40923</v>
      </c>
      <c r="U648">
        <f t="shared" si="29"/>
        <v>40923</v>
      </c>
    </row>
    <row r="649" spans="1:21">
      <c r="A649" s="2894" t="str">
        <f>ORG!$S$1</f>
        <v>Jun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Jun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Jun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Jun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Jun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Jun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Jun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Jun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Jun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Jun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Jun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Jun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Jun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Jun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Jun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Jun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Jun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Jun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Jun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Jun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Jun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Jun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Jun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Jun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Jun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Jun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Jun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Jun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Jun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Jun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Jun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Jun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Jun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Jun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Jun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Jun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Jun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Jun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Jun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Jun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Jun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Jun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Jun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Jun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Jun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Jun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Jun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Jun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Jun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Jun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Jun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Jun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Jun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Jun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Jun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Jun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Jun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Jun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Jun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Jun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Jun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Jun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Jun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Jun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Jun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Jun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Jun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Jun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Jun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Jun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Jun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Jun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Jun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Jun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Jun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Jun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Jun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Jun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Jun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Jun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Jun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Jun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Jun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Jun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Jun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Jun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Jun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Jun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Jun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Jun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Jun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Jun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Jun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Jun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Jun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Jun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Jun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Jun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Jun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Jun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Jun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Jun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Jun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Jun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Jun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Jun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Jun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Jun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Jun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Jun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Jun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Jun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Jun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Jun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Jun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Jun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Jun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Jun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Jun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Jun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Jun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Jun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Jun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Jun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Jun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Jun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Jun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Jun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Jun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Jun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Jun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Jun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Jun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Jun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Jun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Jun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Jun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Jun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Jun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Jun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Jun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Jun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Jun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Jun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Jun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Jun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Jun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Jun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Jun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Jun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Jun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Jun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Jun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Jun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Jun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Jun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Jun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Jun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Jun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Jun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Jun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Jun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Jun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Jun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Jun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Jun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Jun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Jun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Jun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Jun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Jun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Jun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Jun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Jun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Jun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Jun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Jun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Jun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Jun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Jun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Jun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Jun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Jun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Jun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Jun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Jun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Jun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Jun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Jun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Jun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Jun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Jun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Jun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Jun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Jun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Jun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Jun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Jun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Jun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Jun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Jun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Jun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Jun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Jun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Jun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Jun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Jun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Jun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Jun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Jun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Jun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Jun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Jun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Jun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Jun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Jun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Jun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Jun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Jun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Jun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Jun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Jun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Jun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Jun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Jun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Jun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Jun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Jun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Jun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Jun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Jun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Jun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Jun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Jun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Jun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Jun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Jun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Jun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Jun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Jun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Jun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Jun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Jun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Jun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Jun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Jun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Jun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Jun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Jun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Jun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Jun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Jun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Jun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Jun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Jun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Jun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Jun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Jun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Jun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Jun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Jun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Jun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Jun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Jun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Jun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Jun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Jun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Jun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Jun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Jun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Jun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Jun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Jun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Jun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Jun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Jun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Jun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Jun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Jun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Jun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Jun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Jun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Jun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Jun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Jun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Jun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Jun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Jun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Jun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Jun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Jun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Jun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Jun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Jun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Jun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Jun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Jun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Jun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Jun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Jun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Jun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Jun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Jun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Jun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Jun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Jun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Jun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Jun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Jun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Jun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Jun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Jun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Jun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Jun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Jun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Jun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Jun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Jun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Jun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Jun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Jun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Jun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Jun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Jun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Jun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Jun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Jun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Jun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Jun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Jun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Jun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Jun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Jun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Jun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Jun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Jun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Jun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Jun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Jun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Jun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Jun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Jun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Jun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Jun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Jun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Jun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Jun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Jun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Jun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Jun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Jun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Jun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Jun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Jun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Jun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Jun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Jun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Jun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Jun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Jun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Jun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Jun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Jun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Jun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Jun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Jun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Jun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Jun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Jun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Jun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Jun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Jun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Jun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Jun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Jun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Jun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Jun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Jun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Jun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Jun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Jun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Jun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Jun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Jun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Jun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Jun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Jun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Jun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Jun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Jun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Jun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Jun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Jun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Jun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Jun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Jun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Jun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Jun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Jun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Jun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Jun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Jun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Jun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Jun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Jun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Jun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Jun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Jun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Jun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Jun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Jun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Jun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Jun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Jun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Jun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Jun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Jun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Jun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Jun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Jun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Jun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Jun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Jun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Jun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Jun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Jun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Jun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Jun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Jun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Jun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Jun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Jun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Jun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Jun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Jun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Jun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Jun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Jun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Jun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Jun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Jun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Jun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Jun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Jun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Jun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Jun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Jun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Jun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Jun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Jun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Jun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Jun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Jun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Jun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Jun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Jun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Jun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Jun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Jun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Jun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Jun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Jun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Jun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Jun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Jun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Jun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Jun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Jun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Jun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Jun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Jun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Jun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Jun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Jun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Jun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Jun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Jun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Jun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Jun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Jun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Jun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Jun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Jun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Jun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Jun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Jun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Jun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Jun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Jun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Jun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Jun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Jun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Jun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Jun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Jun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Jun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Jun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Jun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Jun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Jun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Jun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Jun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Jun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Jun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Jun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Jun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Jun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Jun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Jun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Jun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Jun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Jun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Jun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Jun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Jun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Jun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Jun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Jun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Jun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Jun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Jun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Jun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Jun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Jun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Jun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Jun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Jun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Jun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Jun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Jun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Jun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Jun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Jun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Jun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Jun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Jun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Jun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Jun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Jun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Jun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Jun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Jun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Jun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Jun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Jun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Jun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Jun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Jun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Jun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Jun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Jun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Jun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Jun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Jun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Jun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Jun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Jun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Jun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Jun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Jun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Jun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Jun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Jun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Jun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Jun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Jun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Jun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Jun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Jun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Jun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Jun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Jun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Jun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Jun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Jun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Jun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Jun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Jun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Jun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Jun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Jun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Jun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Jun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Jun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Jun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Jun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Jun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Jun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Jun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Jun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Jun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Jun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Jun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Jun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Jun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Jun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Jun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Jun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Jun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Jun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Jun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Jun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Jun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Jun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Jun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Jun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Jun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Jun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Jun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Jun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Jun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Jun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Jun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Jun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Jun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Jun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Jun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Jun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Jun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Jun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Jun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Jun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Jun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Jun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Jun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Jun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Jun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Jun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Jun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Jun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Jun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Jun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Jun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Jun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Jun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Jun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Jun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Jun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Jun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Jun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Jun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Jun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Jun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Jun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Jun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Jun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Jun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Jun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Jun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Jun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Jun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Jun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Jun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Jun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Jun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Jun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Jun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Jun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Jun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Jun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Jun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Jun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Jun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Jun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Jun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Jun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Jun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Jun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Jun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Jun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Jun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222574.26853396173</v>
      </c>
      <c r="U1319">
        <f t="shared" si="32"/>
        <v>222574.26853396173</v>
      </c>
    </row>
    <row r="1320" spans="1:21">
      <c r="A1320" s="2894" t="str">
        <f>ORG!$S$1</f>
        <v>Jun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0</v>
      </c>
      <c r="U1320">
        <f t="shared" si="32"/>
        <v>0</v>
      </c>
    </row>
    <row r="1321" spans="1:21">
      <c r="A1321" s="2894" t="str">
        <f>ORG!$S$1</f>
        <v>Jun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Jun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Jun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Jun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122</v>
      </c>
      <c r="U1324">
        <f t="shared" si="32"/>
        <v>122</v>
      </c>
    </row>
    <row r="1325" spans="1:21">
      <c r="A1325" s="2894" t="str">
        <f>ORG!$S$1</f>
        <v>Jun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Jun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Jun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13595.196</v>
      </c>
      <c r="U1327">
        <f t="shared" si="32"/>
        <v>13595.196</v>
      </c>
    </row>
    <row r="1328" spans="1:21">
      <c r="A1328" s="2894" t="str">
        <f>ORG!$S$1</f>
        <v>Jun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Jun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Jun 23</v>
      </c>
      <c r="B1330" t="str">
        <f>ORG!$M$1</f>
        <v>Public Health Wales Trust</v>
      </c>
      <c r="C1330" t="str">
        <f>'E1 - Invoiced Income'!$A$7</f>
        <v>Table E1 -  Invoiced Income Streams - TRUSTS ONLY</v>
      </c>
      <c r="D1330" s="2897">
        <f>'E1 - Invoiced Income'!A25</f>
        <v>14</v>
      </c>
      <c r="E1330" s="2896" t="str">
        <f>'E1 - Invoiced Income'!B25</f>
        <v>M1-3 Consolidated pay award (1.5%) (based on actuals paid to date)</v>
      </c>
      <c r="S1330">
        <f>'E1 - Invoiced Income'!T25</f>
        <v>332</v>
      </c>
      <c r="U1330">
        <f t="shared" si="32"/>
        <v>332</v>
      </c>
    </row>
    <row r="1331" spans="1:21">
      <c r="A1331" s="2894" t="str">
        <f>ORG!$S$1</f>
        <v>Jun 23</v>
      </c>
      <c r="B1331" t="str">
        <f>ORG!$M$1</f>
        <v>Public Health Wales Trust</v>
      </c>
      <c r="C1331" t="str">
        <f>'E1 - Invoiced Income'!$A$7</f>
        <v>Table E1 -  Invoiced Income Streams - TRUSTS ONLY</v>
      </c>
      <c r="D1331" s="2897">
        <f>'E1 - Invoiced Income'!A26</f>
        <v>15</v>
      </c>
      <c r="E1331" s="2896" t="str">
        <f>'E1 - Invoiced Income'!B26</f>
        <v>2022-23 Recovery Paymemt Funding (based on actuals paid in M3)</v>
      </c>
      <c r="S1331">
        <f>'E1 - Invoiced Income'!T26</f>
        <v>1891</v>
      </c>
      <c r="U1331">
        <f t="shared" si="32"/>
        <v>1891</v>
      </c>
    </row>
    <row r="1332" spans="1:21">
      <c r="A1332" s="2894" t="str">
        <f>ORG!$S$1</f>
        <v>Jun 23</v>
      </c>
      <c r="B1332" t="str">
        <f>ORG!$M$1</f>
        <v>Public Health Wales Trust</v>
      </c>
      <c r="C1332" t="str">
        <f>'E1 - Invoiced Income'!$A$7</f>
        <v>Table E1 -  Invoiced Income Streams - TRUSTS ONLY</v>
      </c>
      <c r="D1332" s="2897">
        <f>'E1 - Invoiced Income'!A27</f>
        <v>16</v>
      </c>
      <c r="E1332" s="2896" t="str">
        <f>'E1 - Invoiced Income'!B27</f>
        <v>2023-24 5% pay award to be paid from July (July to include backdated element)</v>
      </c>
      <c r="S1332">
        <f>'E1 - Invoiced Income'!T27</f>
        <v>0</v>
      </c>
      <c r="U1332">
        <f t="shared" si="32"/>
        <v>0</v>
      </c>
    </row>
    <row r="1333" spans="1:21">
      <c r="A1333" s="2894" t="str">
        <f>ORG!$S$1</f>
        <v>Jun 23</v>
      </c>
      <c r="B1333" t="str">
        <f>ORG!$M$1</f>
        <v>Public Health Wales Trust</v>
      </c>
      <c r="C1333" t="str">
        <f>'E1 - Invoiced Income'!$A$7</f>
        <v>Table E1 -  Invoiced Income Streams - TRUSTS ONLY</v>
      </c>
      <c r="D1333" s="2897">
        <f>'E1 - Invoiced Income'!A28</f>
        <v>17</v>
      </c>
      <c r="E1333" s="2896" t="str">
        <f>'E1 - Invoiced Income'!B28</f>
        <v>Screening Recovery Funding 2023-24</v>
      </c>
      <c r="S1333">
        <f>'E1 - Invoiced Income'!T28</f>
        <v>979</v>
      </c>
      <c r="U1333">
        <f t="shared" si="32"/>
        <v>979</v>
      </c>
    </row>
    <row r="1334" spans="1:21">
      <c r="A1334" s="2894" t="str">
        <f>ORG!$S$1</f>
        <v>Jun 23</v>
      </c>
      <c r="B1334" t="str">
        <f>ORG!$M$1</f>
        <v>Public Health Wales Trust</v>
      </c>
      <c r="C1334" t="str">
        <f>'E1 - Invoiced Income'!$A$7</f>
        <v>Table E1 -  Invoiced Income Streams - TRUSTS ONLY</v>
      </c>
      <c r="D1334" s="2897">
        <f>'E1 - Invoiced Income'!A29</f>
        <v>18</v>
      </c>
      <c r="E1334" s="2896" t="str">
        <f>'E1 - Invoiced Income'!B29</f>
        <v>Healthy Working Wales Funding 2023-24</v>
      </c>
      <c r="S1334">
        <f>'E1 - Invoiced Income'!T29</f>
        <v>500</v>
      </c>
      <c r="U1334">
        <f t="shared" si="32"/>
        <v>500</v>
      </c>
    </row>
    <row r="1335" spans="1:21">
      <c r="A1335" s="2894" t="str">
        <f>ORG!$S$1</f>
        <v>Jun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Jun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Jun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Jun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Jun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Jun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Jun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Jun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Jun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Jun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Jun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Jun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Jun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Jun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Jun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Jun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Jun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Jun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Jun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240235.46453396173</v>
      </c>
      <c r="U1353">
        <f t="shared" si="32"/>
        <v>240235.46453396173</v>
      </c>
    </row>
    <row r="1354" spans="1:21">
      <c r="A1354" s="2894" t="str">
        <f>ORG!$S$1</f>
        <v>Jun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1753.7919999999999</v>
      </c>
      <c r="U1354">
        <f t="shared" si="32"/>
        <v>1753.7919999999999</v>
      </c>
    </row>
    <row r="1355" spans="1:21">
      <c r="A1355" s="2894" t="str">
        <f>ORG!$S$1</f>
        <v>Jun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149.63300000000001</v>
      </c>
      <c r="U1355">
        <f t="shared" si="32"/>
        <v>149.63300000000001</v>
      </c>
    </row>
    <row r="1356" spans="1:21">
      <c r="A1356" s="2894" t="str">
        <f>ORG!$S$1</f>
        <v>Jun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Jun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Jun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Jun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Jun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Jun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Jun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Jun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Jun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Jun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Jun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Jun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Jun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Jun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Jun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Jun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Jun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Jun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Jun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Jun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Jun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Jun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Jun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Jun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Jun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Jun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Jun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Jun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Jun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1903.425</v>
      </c>
      <c r="U1384">
        <f t="shared" si="32"/>
        <v>1903.425</v>
      </c>
    </row>
    <row r="1385" spans="1:21">
      <c r="A1385" s="2894" t="str">
        <f>ORG!$S$1</f>
        <v>Jun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12254.829</v>
      </c>
      <c r="U1385">
        <f t="shared" ref="U1385:U1415" si="381">S1385+T1385</f>
        <v>12254.829</v>
      </c>
    </row>
    <row r="1386" spans="1:21">
      <c r="A1386" s="2894" t="str">
        <f>ORG!$S$1</f>
        <v>Jun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1340.367</v>
      </c>
      <c r="U1386">
        <f t="shared" si="381"/>
        <v>1340.367</v>
      </c>
    </row>
    <row r="1387" spans="1:21">
      <c r="A1387" s="2894" t="str">
        <f>ORG!$S$1</f>
        <v>Jun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Jun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Jun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Jun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Jun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Jun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Jun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Jun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Jun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Jun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Jun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Jun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Jun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Jun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Jun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Jun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Jun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Jun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Jun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Jun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Jun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Jun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Jun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Jun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Jun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Jun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Jun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Jun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Jun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13595.196</v>
      </c>
      <c r="U1415">
        <f t="shared" si="381"/>
        <v>13595.196</v>
      </c>
    </row>
    <row r="1416" spans="1:21">
      <c r="A1416" s="2894" t="str">
        <f>ORG!$S$1</f>
        <v>Jun 23</v>
      </c>
      <c r="B1416" t="str">
        <f>ORG!$M$1</f>
        <v>Public Health Wales Trust</v>
      </c>
      <c r="C1416" t="s">
        <v>910</v>
      </c>
      <c r="D1416" s="2897">
        <f>'I - Capital RLM'!$A$129</f>
        <v>92</v>
      </c>
      <c r="E1416" s="2897" t="str">
        <f>'I - Capital RLM'!$B$129</f>
        <v xml:space="preserve">CHARGE AGAINST CRL / CEL  </v>
      </c>
      <c r="F1416" t="s">
        <v>1359</v>
      </c>
      <c r="S1416">
        <f>'I - Capital RLM'!C129</f>
        <v>13.07072</v>
      </c>
    </row>
    <row r="1417" spans="1:21">
      <c r="A1417" s="2894" t="str">
        <f>ORG!$S$1</f>
        <v>Jun 23</v>
      </c>
      <c r="B1417" t="str">
        <f>ORG!$M$1</f>
        <v>Public Health Wales Trust</v>
      </c>
      <c r="C1417" t="s">
        <v>910</v>
      </c>
      <c r="D1417" s="2897">
        <f>'I - Capital RLM'!$A$129</f>
        <v>92</v>
      </c>
      <c r="E1417" s="2897" t="str">
        <f>'I - Capital RLM'!$B$129</f>
        <v xml:space="preserve">CHARGE AGAINST CRL / CEL  </v>
      </c>
      <c r="F1417" t="s">
        <v>1360</v>
      </c>
      <c r="S1417">
        <f>'I - Capital RLM'!D129</f>
        <v>13.07072</v>
      </c>
    </row>
    <row r="1418" spans="1:21">
      <c r="A1418" s="2894" t="str">
        <f>ORG!$S$1</f>
        <v>Jun 23</v>
      </c>
      <c r="B1418" t="str">
        <f>ORG!$M$1</f>
        <v>Public Health Wales Trust</v>
      </c>
      <c r="C1418" t="s">
        <v>910</v>
      </c>
      <c r="D1418" s="2897">
        <f>'I - Capital RLM'!$A$129</f>
        <v>92</v>
      </c>
      <c r="E1418" s="2897" t="str">
        <f>'I - Capital RLM'!$B$129</f>
        <v xml:space="preserve">CHARGE AGAINST CRL / CEL  </v>
      </c>
      <c r="F1418" t="s">
        <v>1361</v>
      </c>
      <c r="S1418">
        <f>'I - Capital RLM'!G129</f>
        <v>1809.0001499999998</v>
      </c>
    </row>
    <row r="1419" spans="1:21">
      <c r="A1419" s="2894" t="str">
        <f>ORG!$S$1</f>
        <v>Jun 23</v>
      </c>
      <c r="B1419" t="str">
        <f>ORG!$M$1</f>
        <v>Public Health Wales Trust</v>
      </c>
      <c r="C1419" t="s">
        <v>910</v>
      </c>
      <c r="D1419" s="2897">
        <f>'I - Capital RLM'!$A$129</f>
        <v>92</v>
      </c>
      <c r="E1419" s="2897" t="str">
        <f>'I - Capital RLM'!$B$129</f>
        <v xml:space="preserve">CHARGE AGAINST CRL / CEL  </v>
      </c>
      <c r="F1419" t="s">
        <v>1362</v>
      </c>
      <c r="S1419">
        <f>'I - Capital RLM'!H129</f>
        <v>1809.0001199999999</v>
      </c>
    </row>
    <row r="1420" spans="1:21">
      <c r="A1420" s="2894" t="str">
        <f>ORG!$S$1</f>
        <v>Jun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Jun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Jun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Jun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Jun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Jun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Jun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Jun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Jun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Jun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Jun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Jun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Jun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Jun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Jun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Jun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Jun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Jun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Jun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Jun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Jun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Jun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Jun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Jun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Jun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Jun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Jun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Jun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Jun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Jun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Jun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Jun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Jun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Jun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Jun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Jun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Jun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Jun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Jun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Jun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Jun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Jun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Jun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Jun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Jun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Jun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Jun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Jun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Jun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Jun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Jun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Jun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Jun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Jun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Jun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Jun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Jun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Jun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Jun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Jun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Jun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Jun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Jun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Jun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Jun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Jun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Jun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Jun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Jun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Jun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Jun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Jun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Jun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Jun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Jun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Jun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Jun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Jun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Jun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Jun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Jun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Jun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Jun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Jun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Jun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Jun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Jun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Jun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Jun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Jun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Jun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Jun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Jun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Jun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Jun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Jun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Jun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Jun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Jun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Jun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Jun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Jun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Jun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Jun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Jun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Jun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Jun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Jun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Jun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Jun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Jun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Jun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Jun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Jun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Jun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Jun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Jun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Jun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Jun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Jun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Jun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Jun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Jun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Jun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Jun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Jun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Jun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Jun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Jun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Jun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Jun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Jun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Jun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Jun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Jun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Jun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Jun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Jun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Jun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Jun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Jun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Jun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Jun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Jun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Jun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Jun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Jun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Jun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Jun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Jun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Jun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Jun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Jun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Jun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Jun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Jun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Jun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Jun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Jun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Jun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Jun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Jun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Jun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Jun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Jun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Jun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Jun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Jun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Jun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Jun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Jun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Jun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Jun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Jun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Jun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Jun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Jun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Jun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Jun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Jun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Jun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Jun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Jun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Jun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Jun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Jun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Jun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Jun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Jun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Jun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Jun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Jun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Jun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Jun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Jun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Jun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Jun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Jun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Jun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Jun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Jun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Jun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204</v>
      </c>
      <c r="J1621">
        <f>'B1 - SOCNE SOCNI Movement'!G12</f>
        <v>-61</v>
      </c>
      <c r="K1621">
        <f>'B1 - SOCNE SOCNI Movement'!H12</f>
        <v>-61</v>
      </c>
      <c r="L1621">
        <f>'B1 - SOCNE SOCNI Movement'!I12</f>
        <v>-61</v>
      </c>
      <c r="M1621">
        <f>'B1 - SOCNE SOCNI Movement'!J12</f>
        <v>-60</v>
      </c>
      <c r="N1621">
        <f>'B1 - SOCNE SOCNI Movement'!K12</f>
        <v>-60</v>
      </c>
      <c r="O1621">
        <f>'B1 - SOCNE SOCNI Movement'!L12</f>
        <v>-60</v>
      </c>
      <c r="P1621">
        <f>'B1 - SOCNE SOCNI Movement'!M12</f>
        <v>-60</v>
      </c>
      <c r="Q1621">
        <f>'B1 - SOCNE SOCNI Movement'!N12</f>
        <v>-60</v>
      </c>
      <c r="R1621">
        <f>'B1 - SOCNE SOCNI Movement'!O12</f>
        <v>-59</v>
      </c>
      <c r="S1621">
        <f>'B1 - SOCNE SOCNI Movement'!P12</f>
        <v>-338</v>
      </c>
      <c r="U1621">
        <f t="shared" si="395"/>
        <v>-338</v>
      </c>
    </row>
    <row r="1622" spans="1:21">
      <c r="A1622" s="2894" t="str">
        <f>ORG!$S$1</f>
        <v>Jun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16</v>
      </c>
      <c r="J1622">
        <f>'B1 - SOCNE SOCNI Movement'!G13</f>
        <v>0</v>
      </c>
      <c r="K1622">
        <f>'B1 - SOCNE SOCNI Movement'!H13</f>
        <v>0</v>
      </c>
      <c r="L1622">
        <f>'B1 - SOCNE SOCNI Movement'!I13</f>
        <v>0</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16</v>
      </c>
      <c r="U1622">
        <f t="shared" si="395"/>
        <v>16</v>
      </c>
    </row>
    <row r="1623" spans="1:21">
      <c r="A1623" s="2894" t="str">
        <f>ORG!$S$1</f>
        <v>Jun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-318</v>
      </c>
      <c r="J1623">
        <f>'B1 - SOCNE SOCNI Movement'!G14</f>
        <v>2129.7498304284127</v>
      </c>
      <c r="K1623">
        <f>'B1 - SOCNE SOCNI Movement'!H14</f>
        <v>1067.0331637617492</v>
      </c>
      <c r="L1623">
        <f>'B1 - SOCNE SOCNI Movement'!I14</f>
        <v>883.77067837158393</v>
      </c>
      <c r="M1623">
        <f>'B1 - SOCNE SOCNI Movement'!J14</f>
        <v>1307.2156556196715</v>
      </c>
      <c r="N1623">
        <f>'B1 - SOCNE SOCNI Movement'!K14</f>
        <v>1152.4581898469951</v>
      </c>
      <c r="O1623">
        <f>'B1 - SOCNE SOCNI Movement'!L14</f>
        <v>950.64065561967072</v>
      </c>
      <c r="P1623">
        <f>'B1 - SOCNE SOCNI Movement'!M14</f>
        <v>1213.2156556196715</v>
      </c>
      <c r="Q1623">
        <f>'B1 - SOCNE SOCNI Movement'!N14</f>
        <v>1212.6450040743184</v>
      </c>
      <c r="R1623">
        <f>'B1 - SOCNE SOCNI Movement'!O14</f>
        <v>1094.7357006196726</v>
      </c>
      <c r="S1623">
        <f>'B1 - SOCNE SOCNI Movement'!P14</f>
        <v>10693.464533961756</v>
      </c>
      <c r="U1623">
        <f t="shared" si="395"/>
        <v>10693.464533961756</v>
      </c>
    </row>
    <row r="1624" spans="1:21">
      <c r="A1624" s="2894" t="str">
        <f>ORG!$S$1</f>
        <v>Jun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278</v>
      </c>
      <c r="J1624">
        <f>'B1 - SOCNE SOCNI Movement'!G15</f>
        <v>17.668000000000006</v>
      </c>
      <c r="K1624">
        <f>'B1 - SOCNE SOCNI Movement'!H15</f>
        <v>17.668000000000006</v>
      </c>
      <c r="L1624">
        <f>'B1 - SOCNE SOCNI Movement'!I15</f>
        <v>17.668000000000006</v>
      </c>
      <c r="M1624">
        <f>'B1 - SOCNE SOCNI Movement'!J15</f>
        <v>17.668000000000006</v>
      </c>
      <c r="N1624">
        <f>'B1 - SOCNE SOCNI Movement'!K15</f>
        <v>17.668000000000006</v>
      </c>
      <c r="O1624">
        <f>'B1 - SOCNE SOCNI Movement'!L15</f>
        <v>17.668000000000006</v>
      </c>
      <c r="P1624">
        <f>'B1 - SOCNE SOCNI Movement'!M15</f>
        <v>17.668000000000006</v>
      </c>
      <c r="Q1624">
        <f>'B1 - SOCNE SOCNI Movement'!N15</f>
        <v>18.668000000000006</v>
      </c>
      <c r="R1624">
        <f>'B1 - SOCNE SOCNI Movement'!O15</f>
        <v>17.653999999999996</v>
      </c>
      <c r="S1624">
        <f>'B1 - SOCNE SOCNI Movement'!P15</f>
        <v>437.99799999999959</v>
      </c>
      <c r="U1624">
        <f t="shared" si="395"/>
        <v>437.99799999999959</v>
      </c>
    </row>
    <row r="1625" spans="1:21">
      <c r="A1625" s="2894" t="str">
        <f>ORG!$S$1</f>
        <v>Jun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180</v>
      </c>
      <c r="J1625">
        <f>'B1 - SOCNE SOCNI Movement'!G16</f>
        <v>2086.4178304284142</v>
      </c>
      <c r="K1625">
        <f>'B1 - SOCNE SOCNI Movement'!H16</f>
        <v>1023.7011637617506</v>
      </c>
      <c r="L1625">
        <f>'B1 - SOCNE SOCNI Movement'!I16</f>
        <v>840.43867837158541</v>
      </c>
      <c r="M1625">
        <f>'B1 - SOCNE SOCNI Movement'!J16</f>
        <v>1264.8836556196729</v>
      </c>
      <c r="N1625">
        <f>'B1 - SOCNE SOCNI Movement'!K16</f>
        <v>1110.1261898469966</v>
      </c>
      <c r="O1625">
        <f>'B1 - SOCNE SOCNI Movement'!L16</f>
        <v>908.30865561967221</v>
      </c>
      <c r="P1625">
        <f>'B1 - SOCNE SOCNI Movement'!M16</f>
        <v>1170.8836556196729</v>
      </c>
      <c r="Q1625">
        <f>'B1 - SOCNE SOCNI Movement'!N16</f>
        <v>1171.3130040743199</v>
      </c>
      <c r="R1625">
        <f>'B1 - SOCNE SOCNI Movement'!O16</f>
        <v>1053.3897006196712</v>
      </c>
      <c r="S1625">
        <f>'B1 - SOCNE SOCNI Movement'!P16</f>
        <v>10809.462533961778</v>
      </c>
      <c r="U1625">
        <f t="shared" si="395"/>
        <v>10809.462533961778</v>
      </c>
    </row>
    <row r="1626" spans="1:21">
      <c r="A1626" s="2894" t="str">
        <f>ORG!$S$1</f>
        <v>Jun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Jun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Jun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3659</v>
      </c>
      <c r="J1628">
        <f>'B1 - SOCNE SOCNI Movement'!G19</f>
        <v>840.38615000000027</v>
      </c>
      <c r="K1628">
        <f>'B1 - SOCNE SOCNI Movement'!H19</f>
        <v>864.41948333333312</v>
      </c>
      <c r="L1628">
        <f>'B1 - SOCNE SOCNI Movement'!I19</f>
        <v>892.25967666666656</v>
      </c>
      <c r="M1628">
        <f>'B1 - SOCNE SOCNI Movement'!J19</f>
        <v>922.10257666666621</v>
      </c>
      <c r="N1628">
        <f>'B1 - SOCNE SOCNI Movement'!K19</f>
        <v>922.10257666666621</v>
      </c>
      <c r="O1628">
        <f>'B1 - SOCNE SOCNI Movement'!L19</f>
        <v>933.10257666666621</v>
      </c>
      <c r="P1628">
        <f>'B1 - SOCNE SOCNI Movement'!M19</f>
        <v>932.10257666666621</v>
      </c>
      <c r="Q1628">
        <f>'B1 - SOCNE SOCNI Movement'!N19</f>
        <v>949.25967666666656</v>
      </c>
      <c r="R1628">
        <f>'B1 - SOCNE SOCNI Movement'!O19</f>
        <v>977.39944166666646</v>
      </c>
      <c r="S1628">
        <f>'B1 - SOCNE SOCNI Movement'!P19</f>
        <v>11892.134735</v>
      </c>
      <c r="U1628">
        <f t="shared" si="395"/>
        <v>11892.134735</v>
      </c>
    </row>
    <row r="1629" spans="1:21">
      <c r="A1629" s="2894" t="str">
        <f>ORG!$S$1</f>
        <v>Jun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-3489.1799999999994</v>
      </c>
      <c r="J1629">
        <f>'B1 - SOCNE SOCNI Movement'!G20</f>
        <v>1245.8516804284154</v>
      </c>
      <c r="K1629">
        <f>'B1 - SOCNE SOCNI Movement'!H20</f>
        <v>160.10168042841542</v>
      </c>
      <c r="L1629">
        <f>'B1 - SOCNE SOCNI Movement'!I20</f>
        <v>-51.000998295082354</v>
      </c>
      <c r="M1629">
        <f>'B1 - SOCNE SOCNI Movement'!J20</f>
        <v>342.60107895300462</v>
      </c>
      <c r="N1629">
        <f>'B1 - SOCNE SOCNI Movement'!K20</f>
        <v>187.84361318032825</v>
      </c>
      <c r="O1629">
        <f>'B1 - SOCNE SOCNI Movement'!L20</f>
        <v>-24.973921046994292</v>
      </c>
      <c r="P1629">
        <f>'B1 - SOCNE SOCNI Movement'!M20</f>
        <v>239.60107895300462</v>
      </c>
      <c r="Q1629">
        <f>'B1 - SOCNE SOCNI Movement'!N20</f>
        <v>221.87342405765048</v>
      </c>
      <c r="R1629">
        <f>'B1 - SOCNE SOCNI Movement'!O20</f>
        <v>87.810355603005519</v>
      </c>
      <c r="S1629">
        <f>'B1 - SOCNE SOCNI Movement'!P20</f>
        <v>-1079.7620077382453</v>
      </c>
      <c r="U1629">
        <f t="shared" si="395"/>
        <v>-1079.7620077382453</v>
      </c>
    </row>
    <row r="1630" spans="1:21">
      <c r="A1630" s="2894" t="str">
        <f>ORG!$S$1</f>
        <v>Jun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Jun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Jun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Jun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Jun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Jun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Jun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Jun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Jun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Jun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Jun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-0.41000000000008185</v>
      </c>
      <c r="J1640">
        <f>'B1 - SOCNE SOCNI Movement'!G31</f>
        <v>-0.41000000000008185</v>
      </c>
      <c r="K1640">
        <f>'B1 - SOCNE SOCNI Movement'!H31</f>
        <v>-0.41000000000008185</v>
      </c>
      <c r="L1640">
        <f>'B1 - SOCNE SOCNI Movement'!I31</f>
        <v>-0.41000000000008185</v>
      </c>
      <c r="M1640">
        <f>'B1 - SOCNE SOCNI Movement'!J31</f>
        <v>-0.41000000000008185</v>
      </c>
      <c r="N1640">
        <f>'B1 - SOCNE SOCNI Movement'!K31</f>
        <v>-0.41000000000008185</v>
      </c>
      <c r="O1640">
        <f>'B1 - SOCNE SOCNI Movement'!L31</f>
        <v>-0.41000000000008185</v>
      </c>
      <c r="P1640">
        <f>'B1 - SOCNE SOCNI Movement'!M31</f>
        <v>-0.41000000000008185</v>
      </c>
      <c r="Q1640">
        <f>'B1 - SOCNE SOCNI Movement'!N31</f>
        <v>-0.41000000000008185</v>
      </c>
      <c r="R1640">
        <f>'B1 - SOCNE SOCNI Movement'!O31</f>
        <v>-0.41000000000008185</v>
      </c>
      <c r="S1640">
        <f>'B1 - SOCNE SOCNI Movement'!P31</f>
        <v>-3.9399999999986903</v>
      </c>
      <c r="U1640">
        <f t="shared" si="395"/>
        <v>-3.9399999999986903</v>
      </c>
    </row>
    <row r="1641" spans="1:21">
      <c r="A1641" s="2894" t="str">
        <f>ORG!$S$1</f>
        <v>Jun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-0.40999999999999659</v>
      </c>
      <c r="J1641">
        <f>'B1 - SOCNE SOCNI Movement'!G32</f>
        <v>-0.40999999999999659</v>
      </c>
      <c r="K1641">
        <f>'B1 - SOCNE SOCNI Movement'!H32</f>
        <v>-0.40999999999999659</v>
      </c>
      <c r="L1641">
        <f>'B1 - SOCNE SOCNI Movement'!I32</f>
        <v>-0.40999999999999659</v>
      </c>
      <c r="M1641">
        <f>'B1 - SOCNE SOCNI Movement'!J32</f>
        <v>-0.40999999999999659</v>
      </c>
      <c r="N1641">
        <f>'B1 - SOCNE SOCNI Movement'!K32</f>
        <v>-0.40999999999999659</v>
      </c>
      <c r="O1641">
        <f>'B1 - SOCNE SOCNI Movement'!L32</f>
        <v>-0.40999999999999659</v>
      </c>
      <c r="P1641">
        <f>'B1 - SOCNE SOCNI Movement'!M32</f>
        <v>-0.40999999999999659</v>
      </c>
      <c r="Q1641">
        <f>'B1 - SOCNE SOCNI Movement'!N32</f>
        <v>-0.40999999999999659</v>
      </c>
      <c r="R1641">
        <f>'B1 - SOCNE SOCNI Movement'!O32</f>
        <v>-0.40999999999999659</v>
      </c>
      <c r="S1641">
        <f>'B1 - SOCNE SOCNI Movement'!P32</f>
        <v>-3.9699999999999136</v>
      </c>
      <c r="U1641">
        <f t="shared" si="395"/>
        <v>-3.9699999999999136</v>
      </c>
    </row>
    <row r="1642" spans="1:21">
      <c r="A1642" s="2894" t="str">
        <f>ORG!$S$1</f>
        <v>Jun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Jun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Jun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169</v>
      </c>
      <c r="J1644">
        <f>'B1 - SOCNE SOCNI Movement'!G35</f>
        <v>2085.4178304284142</v>
      </c>
      <c r="K1644">
        <f>'B1 - SOCNE SOCNI Movement'!H35</f>
        <v>1023.701163761747</v>
      </c>
      <c r="L1644">
        <f>'B1 - SOCNE SOCNI Movement'!I35</f>
        <v>840.43867837158541</v>
      </c>
      <c r="M1644">
        <f>'B1 - SOCNE SOCNI Movement'!J35</f>
        <v>1263.8836556196693</v>
      </c>
      <c r="N1644">
        <f>'B1 - SOCNE SOCNI Movement'!K35</f>
        <v>1109.1261898469966</v>
      </c>
      <c r="O1644">
        <f>'B1 - SOCNE SOCNI Movement'!L35</f>
        <v>907.30865561967221</v>
      </c>
      <c r="P1644">
        <f>'B1 - SOCNE SOCNI Movement'!M35</f>
        <v>1170.8836556196693</v>
      </c>
      <c r="Q1644">
        <f>'B1 - SOCNE SOCNI Movement'!N35</f>
        <v>1170.3131007243173</v>
      </c>
      <c r="R1644">
        <f>'B1 - SOCNE SOCNI Movement'!O35</f>
        <v>1064.3897972696723</v>
      </c>
      <c r="S1644">
        <f>'B1 - SOCNE SOCNI Movement'!P35</f>
        <v>10804.462727261765</v>
      </c>
      <c r="U1644">
        <f t="shared" si="395"/>
        <v>10804.462727261765</v>
      </c>
    </row>
    <row r="1645" spans="1:21">
      <c r="A1645" s="2894" t="str">
        <f>ORG!$S$1</f>
        <v>Jun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11</v>
      </c>
      <c r="J1645">
        <f>'B1 - SOCNE SOCNI Movement'!G36</f>
        <v>1</v>
      </c>
      <c r="K1645">
        <f>'B1 - SOCNE SOCNI Movement'!H36</f>
        <v>3.637978807091713E-12</v>
      </c>
      <c r="L1645">
        <f>'B1 - SOCNE SOCNI Movement'!I36</f>
        <v>0</v>
      </c>
      <c r="M1645">
        <f>'B1 - SOCNE SOCNI Movement'!J36</f>
        <v>1.000000000003638</v>
      </c>
      <c r="N1645">
        <f>'B1 - SOCNE SOCNI Movement'!K36</f>
        <v>1</v>
      </c>
      <c r="O1645">
        <f>'B1 - SOCNE SOCNI Movement'!L36</f>
        <v>1</v>
      </c>
      <c r="P1645">
        <f>'B1 - SOCNE SOCNI Movement'!M36</f>
        <v>3.637978807091713E-12</v>
      </c>
      <c r="Q1645">
        <f>'B1 - SOCNE SOCNI Movement'!N36</f>
        <v>0.99990335000256891</v>
      </c>
      <c r="R1645">
        <f>'B1 - SOCNE SOCNI Movement'!O36</f>
        <v>-11.000096650001069</v>
      </c>
      <c r="S1645">
        <f>'B1 - SOCNE SOCNI Movement'!P36</f>
        <v>4.9998067000124138</v>
      </c>
      <c r="U1645">
        <f t="shared" si="395"/>
        <v>4.9998067000124138</v>
      </c>
    </row>
    <row r="1646" spans="1:21">
      <c r="A1646" s="2894" t="str">
        <f>ORG!$S$1</f>
        <v>Jun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Jun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Jun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Jun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Jun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1995</v>
      </c>
      <c r="J1650">
        <f>'B1 - SOCNE SOCNI Movement'!G43</f>
        <v>1995</v>
      </c>
      <c r="K1650">
        <f>'B1 - SOCNE SOCNI Movement'!H43</f>
        <v>1995</v>
      </c>
      <c r="L1650">
        <f>'B1 - SOCNE SOCNI Movement'!I43</f>
        <v>1995</v>
      </c>
      <c r="M1650">
        <f>'B1 - SOCNE SOCNI Movement'!J43</f>
        <v>1987</v>
      </c>
      <c r="N1650">
        <f>'B1 - SOCNE SOCNI Movement'!K43</f>
        <v>1987</v>
      </c>
      <c r="O1650">
        <f>'B1 - SOCNE SOCNI Movement'!L43</f>
        <v>1987</v>
      </c>
      <c r="P1650">
        <f>'B1 - SOCNE SOCNI Movement'!M43</f>
        <v>1987</v>
      </c>
      <c r="Q1650">
        <f>'B1 - SOCNE SOCNI Movement'!N43</f>
        <v>1987</v>
      </c>
      <c r="R1650">
        <f>'B1 - SOCNE SOCNI Movement'!O43</f>
        <v>1987</v>
      </c>
      <c r="S1650">
        <f>'B1 - SOCNE SOCNI Movement'!P43</f>
        <v>23752</v>
      </c>
      <c r="U1650">
        <f t="shared" si="395"/>
        <v>23752</v>
      </c>
    </row>
    <row r="1651" spans="1:21">
      <c r="A1651" s="2894" t="str">
        <f>ORG!$S$1</f>
        <v>Jun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0</v>
      </c>
      <c r="J1651">
        <f>'B1 - SOCNE SOCNI Movement'!G44</f>
        <v>0</v>
      </c>
      <c r="K1651">
        <f>'B1 - SOCNE SOCNI Movement'!H44</f>
        <v>0</v>
      </c>
      <c r="L1651">
        <f>'B1 - SOCNE SOCNI Movement'!I44</f>
        <v>0</v>
      </c>
      <c r="M1651">
        <f>'B1 - SOCNE SOCNI Movement'!J44</f>
        <v>0</v>
      </c>
      <c r="N1651">
        <f>'B1 - SOCNE SOCNI Movement'!K44</f>
        <v>0</v>
      </c>
      <c r="O1651">
        <f>'B1 - SOCNE SOCNI Movement'!L44</f>
        <v>0</v>
      </c>
      <c r="P1651">
        <f>'B1 - SOCNE SOCNI Movement'!M44</f>
        <v>0</v>
      </c>
      <c r="Q1651">
        <f>'B1 - SOCNE SOCNI Movement'!N44</f>
        <v>0</v>
      </c>
      <c r="R1651">
        <f>'B1 - SOCNE SOCNI Movement'!O44</f>
        <v>0</v>
      </c>
      <c r="S1651">
        <f>'B1 - SOCNE SOCNI Movement'!P44</f>
        <v>34</v>
      </c>
      <c r="U1651">
        <f t="shared" si="395"/>
        <v>34</v>
      </c>
    </row>
    <row r="1652" spans="1:21">
      <c r="A1652" s="2894" t="str">
        <f>ORG!$S$1</f>
        <v>Jun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16441</v>
      </c>
      <c r="J1652">
        <f>'B1 - SOCNE SOCNI Movement'!G45</f>
        <v>15933</v>
      </c>
      <c r="K1652">
        <f>'B1 - SOCNE SOCNI Movement'!H45</f>
        <v>15893</v>
      </c>
      <c r="L1652">
        <f>'B1 - SOCNE SOCNI Movement'!I45</f>
        <v>16477</v>
      </c>
      <c r="M1652">
        <f>'B1 - SOCNE SOCNI Movement'!J45</f>
        <v>16611</v>
      </c>
      <c r="N1652">
        <f>'B1 - SOCNE SOCNI Movement'!K45</f>
        <v>16418</v>
      </c>
      <c r="O1652">
        <f>'B1 - SOCNE SOCNI Movement'!L45</f>
        <v>16919</v>
      </c>
      <c r="P1652">
        <f>'B1 - SOCNE SOCNI Movement'!M45</f>
        <v>16454</v>
      </c>
      <c r="Q1652">
        <f>'B1 - SOCNE SOCNI Movement'!N45</f>
        <v>16416</v>
      </c>
      <c r="R1652">
        <f>'B1 - SOCNE SOCNI Movement'!O45</f>
        <v>17563</v>
      </c>
      <c r="S1652">
        <f>'B1 - SOCNE SOCNI Movement'!P45</f>
        <v>196967</v>
      </c>
      <c r="U1652">
        <f t="shared" si="395"/>
        <v>196967</v>
      </c>
    </row>
    <row r="1653" spans="1:21">
      <c r="A1653" s="2894" t="str">
        <f>ORG!$S$1</f>
        <v>Jun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367</v>
      </c>
      <c r="J1653">
        <f>'B1 - SOCNE SOCNI Movement'!G46</f>
        <v>367</v>
      </c>
      <c r="K1653">
        <f>'B1 - SOCNE SOCNI Movement'!H46</f>
        <v>366</v>
      </c>
      <c r="L1653">
        <f>'B1 - SOCNE SOCNI Movement'!I46</f>
        <v>366</v>
      </c>
      <c r="M1653">
        <f>'B1 - SOCNE SOCNI Movement'!J46</f>
        <v>366</v>
      </c>
      <c r="N1653">
        <f>'B1 - SOCNE SOCNI Movement'!K46</f>
        <v>366</v>
      </c>
      <c r="O1653">
        <f>'B1 - SOCNE SOCNI Movement'!L46</f>
        <v>366</v>
      </c>
      <c r="P1653">
        <f>'B1 - SOCNE SOCNI Movement'!M46</f>
        <v>364</v>
      </c>
      <c r="Q1653">
        <f>'B1 - SOCNE SOCNI Movement'!N46</f>
        <v>361</v>
      </c>
      <c r="R1653">
        <f>'B1 - SOCNE SOCNI Movement'!O46</f>
        <v>362</v>
      </c>
      <c r="S1653">
        <f>'B1 - SOCNE SOCNI Movement'!P46</f>
        <v>4639</v>
      </c>
      <c r="U1653">
        <f t="shared" si="395"/>
        <v>4639</v>
      </c>
    </row>
    <row r="1654" spans="1:21">
      <c r="A1654" s="2894" t="str">
        <f>ORG!$S$1</f>
        <v>Jun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18803</v>
      </c>
      <c r="J1654">
        <f>'B1 - SOCNE SOCNI Movement'!G47</f>
        <v>18295</v>
      </c>
      <c r="K1654">
        <f>'B1 - SOCNE SOCNI Movement'!H47</f>
        <v>18254</v>
      </c>
      <c r="L1654">
        <f>'B1 - SOCNE SOCNI Movement'!I47</f>
        <v>18838</v>
      </c>
      <c r="M1654">
        <f>'B1 - SOCNE SOCNI Movement'!J47</f>
        <v>18964</v>
      </c>
      <c r="N1654">
        <f>'B1 - SOCNE SOCNI Movement'!K47</f>
        <v>18771</v>
      </c>
      <c r="O1654">
        <f>'B1 - SOCNE SOCNI Movement'!L47</f>
        <v>19272</v>
      </c>
      <c r="P1654">
        <f>'B1 - SOCNE SOCNI Movement'!M47</f>
        <v>18805</v>
      </c>
      <c r="Q1654">
        <f>'B1 - SOCNE SOCNI Movement'!N47</f>
        <v>18764</v>
      </c>
      <c r="R1654">
        <f>'B1 - SOCNE SOCNI Movement'!O47</f>
        <v>19912</v>
      </c>
      <c r="S1654">
        <f>'B1 - SOCNE SOCNI Movement'!P47</f>
        <v>225392</v>
      </c>
      <c r="U1654">
        <f t="shared" si="395"/>
        <v>225392</v>
      </c>
    </row>
    <row r="1655" spans="1:21">
      <c r="A1655" s="2894" t="str">
        <f>ORG!$S$1</f>
        <v>Jun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Jun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Jun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10031</v>
      </c>
      <c r="J1657">
        <f>'B1 - SOCNE SOCNI Movement'!G50</f>
        <v>10072</v>
      </c>
      <c r="K1657">
        <f>'B1 - SOCNE SOCNI Movement'!H50</f>
        <v>10060</v>
      </c>
      <c r="L1657">
        <f>'B1 - SOCNE SOCNI Movement'!I50</f>
        <v>10072</v>
      </c>
      <c r="M1657">
        <f>'B1 - SOCNE SOCNI Movement'!J50</f>
        <v>10093</v>
      </c>
      <c r="N1657">
        <f>'B1 - SOCNE SOCNI Movement'!K50</f>
        <v>10093</v>
      </c>
      <c r="O1657">
        <f>'B1 - SOCNE SOCNI Movement'!L50</f>
        <v>10082</v>
      </c>
      <c r="P1657">
        <f>'B1 - SOCNE SOCNI Movement'!M50</f>
        <v>10079</v>
      </c>
      <c r="Q1657">
        <f>'B1 - SOCNE SOCNI Movement'!N50</f>
        <v>10052</v>
      </c>
      <c r="R1657">
        <f>'B1 - SOCNE SOCNI Movement'!O50</f>
        <v>10156</v>
      </c>
      <c r="S1657">
        <f>'B1 - SOCNE SOCNI Movement'!P50</f>
        <v>121498</v>
      </c>
      <c r="U1657">
        <f t="shared" si="395"/>
        <v>121498</v>
      </c>
    </row>
    <row r="1658" spans="1:21">
      <c r="A1658" s="2894" t="str">
        <f>ORG!$S$1</f>
        <v>Jun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8226</v>
      </c>
      <c r="J1658">
        <f>'B1 - SOCNE SOCNI Movement'!G51</f>
        <v>7678</v>
      </c>
      <c r="K1658">
        <f>'B1 - SOCNE SOCNI Movement'!H51</f>
        <v>7648</v>
      </c>
      <c r="L1658">
        <f>'B1 - SOCNE SOCNI Movement'!I51</f>
        <v>8220</v>
      </c>
      <c r="M1658">
        <f>'B1 - SOCNE SOCNI Movement'!J51</f>
        <v>8326</v>
      </c>
      <c r="N1658">
        <f>'B1 - SOCNE SOCNI Movement'!K51</f>
        <v>8133</v>
      </c>
      <c r="O1658">
        <f>'B1 - SOCNE SOCNI Movement'!L51</f>
        <v>8645</v>
      </c>
      <c r="P1658">
        <f>'B1 - SOCNE SOCNI Movement'!M51</f>
        <v>8180</v>
      </c>
      <c r="Q1658">
        <f>'B1 - SOCNE SOCNI Movement'!N51</f>
        <v>8167</v>
      </c>
      <c r="R1658">
        <f>'B1 - SOCNE SOCNI Movement'!O51</f>
        <v>9262</v>
      </c>
      <c r="S1658">
        <f>'B1 - SOCNE SOCNI Movement'!P51</f>
        <v>97349.179000000004</v>
      </c>
      <c r="U1658">
        <f t="shared" si="395"/>
        <v>97349.179000000004</v>
      </c>
    </row>
    <row r="1659" spans="1:21">
      <c r="A1659" s="2894" t="str">
        <f>ORG!$S$1</f>
        <v>Jun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Jun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Jun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Jun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Jun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Jun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Jun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Jun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Jun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Jun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Jun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519</v>
      </c>
      <c r="J1669">
        <f>'B1 - SOCNE SOCNI Movement'!G62</f>
        <v>519</v>
      </c>
      <c r="K1669">
        <f>'B1 - SOCNE SOCNI Movement'!H62</f>
        <v>519</v>
      </c>
      <c r="L1669">
        <f>'B1 - SOCNE SOCNI Movement'!I62</f>
        <v>519</v>
      </c>
      <c r="M1669">
        <f>'B1 - SOCNE SOCNI Movement'!J62</f>
        <v>519</v>
      </c>
      <c r="N1669">
        <f>'B1 - SOCNE SOCNI Movement'!K62</f>
        <v>519</v>
      </c>
      <c r="O1669">
        <f>'B1 - SOCNE SOCNI Movement'!L62</f>
        <v>519</v>
      </c>
      <c r="P1669">
        <f>'B1 - SOCNE SOCNI Movement'!M62</f>
        <v>519</v>
      </c>
      <c r="Q1669">
        <f>'B1 - SOCNE SOCNI Movement'!N62</f>
        <v>519</v>
      </c>
      <c r="R1669">
        <f>'B1 - SOCNE SOCNI Movement'!O62</f>
        <v>519</v>
      </c>
      <c r="S1669">
        <f>'B1 - SOCNE SOCNI Movement'!P62</f>
        <v>6226.8209999999999</v>
      </c>
      <c r="U1669">
        <f t="shared" si="395"/>
        <v>6226.8209999999999</v>
      </c>
    </row>
    <row r="1670" spans="1:21">
      <c r="A1670" s="2894" t="str">
        <f>ORG!$S$1</f>
        <v>Jun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27</v>
      </c>
      <c r="J1670">
        <f>'B1 - SOCNE SOCNI Movement'!G63</f>
        <v>27</v>
      </c>
      <c r="K1670">
        <f>'B1 - SOCNE SOCNI Movement'!H63</f>
        <v>27</v>
      </c>
      <c r="L1670">
        <f>'B1 - SOCNE SOCNI Movement'!I63</f>
        <v>27</v>
      </c>
      <c r="M1670">
        <f>'B1 - SOCNE SOCNI Movement'!J63</f>
        <v>27</v>
      </c>
      <c r="N1670">
        <f>'B1 - SOCNE SOCNI Movement'!K63</f>
        <v>27</v>
      </c>
      <c r="O1670">
        <f>'B1 - SOCNE SOCNI Movement'!L63</f>
        <v>27</v>
      </c>
      <c r="P1670">
        <f>'B1 - SOCNE SOCNI Movement'!M63</f>
        <v>27</v>
      </c>
      <c r="Q1670">
        <f>'B1 - SOCNE SOCNI Movement'!N63</f>
        <v>27</v>
      </c>
      <c r="R1670">
        <f>'B1 - SOCNE SOCNI Movement'!O63</f>
        <v>27</v>
      </c>
      <c r="S1670">
        <f>'B1 - SOCNE SOCNI Movement'!P63</f>
        <v>323</v>
      </c>
      <c r="U1670">
        <f t="shared" si="395"/>
        <v>323</v>
      </c>
    </row>
    <row r="1671" spans="1:21">
      <c r="A1671" s="2894" t="str">
        <f>ORG!$S$1</f>
        <v>Jun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Jun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Jun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18803</v>
      </c>
      <c r="J1673">
        <f>'B1 - SOCNE SOCNI Movement'!G66</f>
        <v>18296</v>
      </c>
      <c r="K1673">
        <f>'B1 - SOCNE SOCNI Movement'!H66</f>
        <v>18254</v>
      </c>
      <c r="L1673">
        <f>'B1 - SOCNE SOCNI Movement'!I66</f>
        <v>18838</v>
      </c>
      <c r="M1673">
        <f>'B1 - SOCNE SOCNI Movement'!J66</f>
        <v>18965</v>
      </c>
      <c r="N1673">
        <f>'B1 - SOCNE SOCNI Movement'!K66</f>
        <v>18772</v>
      </c>
      <c r="O1673">
        <f>'B1 - SOCNE SOCNI Movement'!L66</f>
        <v>19273</v>
      </c>
      <c r="P1673">
        <f>'B1 - SOCNE SOCNI Movement'!M66</f>
        <v>18805</v>
      </c>
      <c r="Q1673">
        <f>'B1 - SOCNE SOCNI Movement'!N66</f>
        <v>18765</v>
      </c>
      <c r="R1673">
        <f>'B1 - SOCNE SOCNI Movement'!O66</f>
        <v>19964</v>
      </c>
      <c r="S1673">
        <f>'B1 - SOCNE SOCNI Movement'!P66</f>
        <v>225397</v>
      </c>
      <c r="U1673">
        <f t="shared" si="397"/>
        <v>225397</v>
      </c>
    </row>
    <row r="1674" spans="1:21">
      <c r="A1674" s="2894" t="str">
        <f>ORG!$S$1</f>
        <v>Jun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0</v>
      </c>
      <c r="J1674">
        <f>'B1 - SOCNE SOCNI Movement'!G67</f>
        <v>-1</v>
      </c>
      <c r="K1674">
        <f>'B1 - SOCNE SOCNI Movement'!H67</f>
        <v>0</v>
      </c>
      <c r="L1674">
        <f>'B1 - SOCNE SOCNI Movement'!I67</f>
        <v>0</v>
      </c>
      <c r="M1674">
        <f>'B1 - SOCNE SOCNI Movement'!J67</f>
        <v>-1</v>
      </c>
      <c r="N1674">
        <f>'B1 - SOCNE SOCNI Movement'!K67</f>
        <v>-1</v>
      </c>
      <c r="O1674">
        <f>'B1 - SOCNE SOCNI Movement'!L67</f>
        <v>-1</v>
      </c>
      <c r="P1674">
        <f>'B1 - SOCNE SOCNI Movement'!M67</f>
        <v>0</v>
      </c>
      <c r="Q1674">
        <f>'B1 - SOCNE SOCNI Movement'!N67</f>
        <v>-1</v>
      </c>
      <c r="R1674">
        <f>'B1 - SOCNE SOCNI Movement'!O67</f>
        <v>-52</v>
      </c>
      <c r="S1674">
        <f>'B1 - SOCNE SOCNI Movement'!P67</f>
        <v>-5</v>
      </c>
      <c r="U1674">
        <f t="shared" si="397"/>
        <v>-5</v>
      </c>
    </row>
    <row r="1675" spans="1:21">
      <c r="A1675" s="2894" t="str">
        <f>ORG!$S$1</f>
        <v>Jun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Jun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Jun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Jun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Jun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1934</v>
      </c>
      <c r="K1679">
        <f>'B1 - SOCNE SOCNI Movement'!H76</f>
        <v>1934</v>
      </c>
      <c r="L1679">
        <f>'B1 - SOCNE SOCNI Movement'!I76</f>
        <v>1934</v>
      </c>
      <c r="M1679">
        <f>'B1 - SOCNE SOCNI Movement'!J76</f>
        <v>1927</v>
      </c>
      <c r="N1679">
        <f>'B1 - SOCNE SOCNI Movement'!K76</f>
        <v>1927</v>
      </c>
      <c r="O1679">
        <f>'B1 - SOCNE SOCNI Movement'!L76</f>
        <v>1927</v>
      </c>
      <c r="P1679">
        <f>'B1 - SOCNE SOCNI Movement'!M76</f>
        <v>1927</v>
      </c>
      <c r="Q1679">
        <f>'B1 - SOCNE SOCNI Movement'!N76</f>
        <v>1927</v>
      </c>
      <c r="R1679">
        <f>'B1 - SOCNE SOCNI Movement'!O76</f>
        <v>1928</v>
      </c>
      <c r="S1679">
        <f>'B1 - SOCNE SOCNI Movement'!P76</f>
        <v>23414</v>
      </c>
      <c r="U1679">
        <f t="shared" si="397"/>
        <v>23414</v>
      </c>
    </row>
    <row r="1680" spans="1:21">
      <c r="A1680" s="2894" t="str">
        <f>ORG!$S$1</f>
        <v>Jun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0</v>
      </c>
      <c r="K1680">
        <f>'B1 - SOCNE SOCNI Movement'!H77</f>
        <v>0</v>
      </c>
      <c r="L1680">
        <f>'B1 - SOCNE SOCNI Movement'!I77</f>
        <v>0</v>
      </c>
      <c r="M1680">
        <f>'B1 - SOCNE SOCNI Movement'!J77</f>
        <v>0</v>
      </c>
      <c r="N1680">
        <f>'B1 - SOCNE SOCNI Movement'!K77</f>
        <v>0</v>
      </c>
      <c r="O1680">
        <f>'B1 - SOCNE SOCNI Movement'!L77</f>
        <v>0</v>
      </c>
      <c r="P1680">
        <f>'B1 - SOCNE SOCNI Movement'!M77</f>
        <v>0</v>
      </c>
      <c r="Q1680">
        <f>'B1 - SOCNE SOCNI Movement'!N77</f>
        <v>0</v>
      </c>
      <c r="R1680">
        <f>'B1 - SOCNE SOCNI Movement'!O77</f>
        <v>0</v>
      </c>
      <c r="S1680">
        <f>'B1 - SOCNE SOCNI Movement'!P77</f>
        <v>50</v>
      </c>
      <c r="U1680">
        <f t="shared" si="397"/>
        <v>50</v>
      </c>
    </row>
    <row r="1681" spans="1:21">
      <c r="A1681" s="2894" t="str">
        <f>ORG!$S$1</f>
        <v>Jun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18062.749830428413</v>
      </c>
      <c r="K1681">
        <f>'B1 - SOCNE SOCNI Movement'!H78</f>
        <v>16960.033163761749</v>
      </c>
      <c r="L1681">
        <f>'B1 - SOCNE SOCNI Movement'!I78</f>
        <v>17360.770678371584</v>
      </c>
      <c r="M1681">
        <f>'B1 - SOCNE SOCNI Movement'!J78</f>
        <v>17918.215655619671</v>
      </c>
      <c r="N1681">
        <f>'B1 - SOCNE SOCNI Movement'!K78</f>
        <v>17570.458189846995</v>
      </c>
      <c r="O1681">
        <f>'B1 - SOCNE SOCNI Movement'!L78</f>
        <v>17869.640655619671</v>
      </c>
      <c r="P1681">
        <f>'B1 - SOCNE SOCNI Movement'!M78</f>
        <v>17667.215655619671</v>
      </c>
      <c r="Q1681">
        <f>'B1 - SOCNE SOCNI Movement'!N78</f>
        <v>17628.645004074318</v>
      </c>
      <c r="R1681">
        <f>'B1 - SOCNE SOCNI Movement'!O78</f>
        <v>18657.735700619673</v>
      </c>
      <c r="S1681">
        <f>'B1 - SOCNE SOCNI Movement'!P78</f>
        <v>207660.46453396176</v>
      </c>
      <c r="U1681">
        <f t="shared" si="397"/>
        <v>207660.46453396176</v>
      </c>
    </row>
    <row r="1682" spans="1:21">
      <c r="A1682" s="2894" t="str">
        <f>ORG!$S$1</f>
        <v>Jun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384.66800000000001</v>
      </c>
      <c r="K1682">
        <f>'B1 - SOCNE SOCNI Movement'!H79</f>
        <v>383.66800000000001</v>
      </c>
      <c r="L1682">
        <f>'B1 - SOCNE SOCNI Movement'!I79</f>
        <v>383.66800000000001</v>
      </c>
      <c r="M1682">
        <f>'B1 - SOCNE SOCNI Movement'!J79</f>
        <v>383.66800000000001</v>
      </c>
      <c r="N1682">
        <f>'B1 - SOCNE SOCNI Movement'!K79</f>
        <v>383.66800000000001</v>
      </c>
      <c r="O1682">
        <f>'B1 - SOCNE SOCNI Movement'!L79</f>
        <v>383.66800000000001</v>
      </c>
      <c r="P1682">
        <f>'B1 - SOCNE SOCNI Movement'!M79</f>
        <v>381.66800000000001</v>
      </c>
      <c r="Q1682">
        <f>'B1 - SOCNE SOCNI Movement'!N79</f>
        <v>379.66800000000001</v>
      </c>
      <c r="R1682">
        <f>'B1 - SOCNE SOCNI Movement'!O79</f>
        <v>379.654</v>
      </c>
      <c r="S1682">
        <f>'B1 - SOCNE SOCNI Movement'!P79</f>
        <v>5076.9979999999996</v>
      </c>
      <c r="U1682">
        <f t="shared" si="397"/>
        <v>5076.9979999999996</v>
      </c>
    </row>
    <row r="1683" spans="1:21">
      <c r="A1683" s="2894" t="str">
        <f>ORG!$S$1</f>
        <v>Jun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20381.417830428414</v>
      </c>
      <c r="K1683">
        <f>'B1 - SOCNE SOCNI Movement'!H80</f>
        <v>19277.701163761751</v>
      </c>
      <c r="L1683">
        <f>'B1 - SOCNE SOCNI Movement'!I80</f>
        <v>19678.438678371585</v>
      </c>
      <c r="M1683">
        <f>'B1 - SOCNE SOCNI Movement'!J80</f>
        <v>20228.883655619673</v>
      </c>
      <c r="N1683">
        <f>'B1 - SOCNE SOCNI Movement'!K80</f>
        <v>19881.126189846997</v>
      </c>
      <c r="O1683">
        <f>'B1 - SOCNE SOCNI Movement'!L80</f>
        <v>20180.308655619672</v>
      </c>
      <c r="P1683">
        <f>'B1 - SOCNE SOCNI Movement'!M80</f>
        <v>19975.883655619673</v>
      </c>
      <c r="Q1683">
        <f>'B1 - SOCNE SOCNI Movement'!N80</f>
        <v>19935.31300407432</v>
      </c>
      <c r="R1683">
        <f>'B1 - SOCNE SOCNI Movement'!O80</f>
        <v>20965.389700619671</v>
      </c>
      <c r="S1683">
        <f>'B1 - SOCNE SOCNI Movement'!P80</f>
        <v>236201.46253396178</v>
      </c>
      <c r="U1683">
        <f t="shared" si="397"/>
        <v>236201.46253396178</v>
      </c>
    </row>
    <row r="1684" spans="1:21">
      <c r="A1684" s="2894" t="str">
        <f>ORG!$S$1</f>
        <v>Jun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Jun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Jun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10912.38615</v>
      </c>
      <c r="K1686">
        <f>'B1 - SOCNE SOCNI Movement'!H83</f>
        <v>10924.419483333333</v>
      </c>
      <c r="L1686">
        <f>'B1 - SOCNE SOCNI Movement'!I83</f>
        <v>10964.259676666667</v>
      </c>
      <c r="M1686">
        <f>'B1 - SOCNE SOCNI Movement'!J83</f>
        <v>11015.102576666666</v>
      </c>
      <c r="N1686">
        <f>'B1 - SOCNE SOCNI Movement'!K83</f>
        <v>11015.102576666666</v>
      </c>
      <c r="O1686">
        <f>'B1 - SOCNE SOCNI Movement'!L83</f>
        <v>11015.102576666666</v>
      </c>
      <c r="P1686">
        <f>'B1 - SOCNE SOCNI Movement'!M83</f>
        <v>11011.102576666666</v>
      </c>
      <c r="Q1686">
        <f>'B1 - SOCNE SOCNI Movement'!N83</f>
        <v>11001.259676666667</v>
      </c>
      <c r="R1686">
        <f>'B1 - SOCNE SOCNI Movement'!O83</f>
        <v>11133.399441666666</v>
      </c>
      <c r="S1686">
        <f>'B1 - SOCNE SOCNI Movement'!P83</f>
        <v>133390.134735</v>
      </c>
      <c r="U1686">
        <f t="shared" si="397"/>
        <v>133390.134735</v>
      </c>
    </row>
    <row r="1687" spans="1:21">
      <c r="A1687" s="2894" t="str">
        <f>ORG!$S$1</f>
        <v>Jun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8923.8516804284154</v>
      </c>
      <c r="K1687">
        <f>'B1 - SOCNE SOCNI Movement'!H84</f>
        <v>7808.1016804284154</v>
      </c>
      <c r="L1687">
        <f>'B1 - SOCNE SOCNI Movement'!I84</f>
        <v>8168.9990017049176</v>
      </c>
      <c r="M1687">
        <f>'B1 - SOCNE SOCNI Movement'!J84</f>
        <v>8668.6010789530046</v>
      </c>
      <c r="N1687">
        <f>'B1 - SOCNE SOCNI Movement'!K84</f>
        <v>8320.8436131803282</v>
      </c>
      <c r="O1687">
        <f>'B1 - SOCNE SOCNI Movement'!L84</f>
        <v>8620.0260789530057</v>
      </c>
      <c r="P1687">
        <f>'B1 - SOCNE SOCNI Movement'!M84</f>
        <v>8419.6010789530046</v>
      </c>
      <c r="Q1687">
        <f>'B1 - SOCNE SOCNI Movement'!N84</f>
        <v>8388.8734240576505</v>
      </c>
      <c r="R1687">
        <f>'B1 - SOCNE SOCNI Movement'!O84</f>
        <v>9349.8103556030055</v>
      </c>
      <c r="S1687">
        <f>'B1 - SOCNE SOCNI Movement'!P84</f>
        <v>96269.416992261758</v>
      </c>
      <c r="U1687">
        <f t="shared" si="397"/>
        <v>96269.416992261758</v>
      </c>
    </row>
    <row r="1688" spans="1:21">
      <c r="A1688" s="2894" t="str">
        <f>ORG!$S$1</f>
        <v>Jun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Jun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Jun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Jun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Jun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Jun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Jun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Jun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Jun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Jun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Jun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518.58999999999992</v>
      </c>
      <c r="L1698">
        <f>'B1 - SOCNE SOCNI Movement'!I95</f>
        <v>518.58999999999992</v>
      </c>
      <c r="M1698">
        <f>'B1 - SOCNE SOCNI Movement'!J95</f>
        <v>518.58999999999992</v>
      </c>
      <c r="N1698">
        <f>'B1 - SOCNE SOCNI Movement'!K95</f>
        <v>518.58999999999992</v>
      </c>
      <c r="O1698">
        <f>'B1 - SOCNE SOCNI Movement'!L95</f>
        <v>518.58999999999992</v>
      </c>
      <c r="P1698">
        <f>'B1 - SOCNE SOCNI Movement'!M95</f>
        <v>518.58999999999992</v>
      </c>
      <c r="Q1698">
        <f>'B1 - SOCNE SOCNI Movement'!N95</f>
        <v>518.58999999999992</v>
      </c>
      <c r="R1698">
        <f>'B1 - SOCNE SOCNI Movement'!O95</f>
        <v>518.58999999999992</v>
      </c>
      <c r="S1698">
        <f>'B1 - SOCNE SOCNI Movement'!P95</f>
        <v>6222.8810000000012</v>
      </c>
      <c r="U1698">
        <f t="shared" si="397"/>
        <v>6222.8810000000012</v>
      </c>
    </row>
    <row r="1699" spans="1:21">
      <c r="A1699" s="2894" t="str">
        <f>ORG!$S$1</f>
        <v>Jun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26.590000000000003</v>
      </c>
      <c r="L1699">
        <f>'B1 - SOCNE SOCNI Movement'!I96</f>
        <v>26.590000000000003</v>
      </c>
      <c r="M1699">
        <f>'B1 - SOCNE SOCNI Movement'!J96</f>
        <v>26.590000000000003</v>
      </c>
      <c r="N1699">
        <f>'B1 - SOCNE SOCNI Movement'!K96</f>
        <v>26.590000000000003</v>
      </c>
      <c r="O1699">
        <f>'B1 - SOCNE SOCNI Movement'!L96</f>
        <v>26.590000000000003</v>
      </c>
      <c r="P1699">
        <f>'B1 - SOCNE SOCNI Movement'!M96</f>
        <v>26.590000000000003</v>
      </c>
      <c r="Q1699">
        <f>'B1 - SOCNE SOCNI Movement'!N96</f>
        <v>26.590000000000003</v>
      </c>
      <c r="R1699">
        <f>'B1 - SOCNE SOCNI Movement'!O96</f>
        <v>26.590000000000003</v>
      </c>
      <c r="S1699">
        <f>'B1 - SOCNE SOCNI Movement'!P96</f>
        <v>319.03000000000009</v>
      </c>
      <c r="U1699">
        <f t="shared" si="397"/>
        <v>319.03000000000009</v>
      </c>
    </row>
    <row r="1700" spans="1:21">
      <c r="A1700" s="2894" t="str">
        <f>ORG!$S$1</f>
        <v>Jun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Jun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Jun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20381.417830428414</v>
      </c>
      <c r="K1702">
        <f>'B1 - SOCNE SOCNI Movement'!H99</f>
        <v>19277.701163761747</v>
      </c>
      <c r="L1702">
        <f>'B1 - SOCNE SOCNI Movement'!I99</f>
        <v>19678.438678371585</v>
      </c>
      <c r="M1702">
        <f>'B1 - SOCNE SOCNI Movement'!J99</f>
        <v>20228.883655619669</v>
      </c>
      <c r="N1702">
        <f>'B1 - SOCNE SOCNI Movement'!K99</f>
        <v>19881.126189846997</v>
      </c>
      <c r="O1702">
        <f>'B1 - SOCNE SOCNI Movement'!L99</f>
        <v>20180.308655619672</v>
      </c>
      <c r="P1702">
        <f>'B1 - SOCNE SOCNI Movement'!M99</f>
        <v>19975.883655619669</v>
      </c>
      <c r="Q1702">
        <f>'B1 - SOCNE SOCNI Movement'!N99</f>
        <v>19935.313100724317</v>
      </c>
      <c r="R1702">
        <f>'B1 - SOCNE SOCNI Movement'!O99</f>
        <v>21028.389797269672</v>
      </c>
      <c r="S1702">
        <f>'B1 - SOCNE SOCNI Movement'!P99</f>
        <v>236201.46272726177</v>
      </c>
      <c r="U1702">
        <f t="shared" si="397"/>
        <v>236201.46272726177</v>
      </c>
    </row>
    <row r="1703" spans="1:21">
      <c r="A1703" s="2894" t="str">
        <f>ORG!$S$1</f>
        <v>Jun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0</v>
      </c>
      <c r="K1703">
        <f>'B1 - SOCNE SOCNI Movement'!H100</f>
        <v>3.637978807091713E-12</v>
      </c>
      <c r="L1703">
        <f>'B1 - SOCNE SOCNI Movement'!I100</f>
        <v>0</v>
      </c>
      <c r="M1703">
        <f>'B1 - SOCNE SOCNI Movement'!J100</f>
        <v>3.637978807091713E-12</v>
      </c>
      <c r="N1703">
        <f>'B1 - SOCNE SOCNI Movement'!K100</f>
        <v>0</v>
      </c>
      <c r="O1703">
        <f>'B1 - SOCNE SOCNI Movement'!L100</f>
        <v>0</v>
      </c>
      <c r="P1703">
        <f>'B1 - SOCNE SOCNI Movement'!M100</f>
        <v>3.637978807091713E-12</v>
      </c>
      <c r="Q1703">
        <f>'B1 - SOCNE SOCNI Movement'!N100</f>
        <v>-9.6649997431086376E-5</v>
      </c>
      <c r="R1703">
        <f>'B1 - SOCNE SOCNI Movement'!O100</f>
        <v>-63.000096650001069</v>
      </c>
      <c r="S1703">
        <f>'B1 - SOCNE SOCNI Movement'!P100</f>
        <v>-1.9329998758621514E-4</v>
      </c>
      <c r="U1703">
        <f t="shared" si="397"/>
        <v>-1.9329998758621514E-4</v>
      </c>
    </row>
    <row r="1704" spans="1:21">
      <c r="A1704" s="2894" t="str">
        <f>ORG!$S$1</f>
        <v>Jun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Jun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Jun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Jun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Jun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271</v>
      </c>
      <c r="U1708">
        <f t="shared" si="397"/>
        <v>271</v>
      </c>
    </row>
    <row r="1709" spans="1:21">
      <c r="A1709" s="2894" t="str">
        <f>ORG!$S$1</f>
        <v>Jun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271</v>
      </c>
      <c r="F1709" t="str">
        <f>'B1 - SOCNE SOCNI Movement'!C13</f>
        <v>WHSSC Income</v>
      </c>
      <c r="S1709">
        <f>'B1 - SOCNE SOCNI Movement'!S13</f>
        <v>-2</v>
      </c>
      <c r="U1709">
        <f t="shared" si="397"/>
        <v>-2</v>
      </c>
    </row>
    <row r="1710" spans="1:21">
      <c r="A1710" s="2894" t="str">
        <f>ORG!$S$1</f>
        <v>Jun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-2</v>
      </c>
      <c r="F1710" t="str">
        <f>'B1 - SOCNE SOCNI Movement'!C14</f>
        <v>Welsh Government Income (Non RRL)</v>
      </c>
      <c r="S1710">
        <f>'B1 - SOCNE SOCNI Movement'!S14</f>
        <v>59</v>
      </c>
      <c r="U1710">
        <f t="shared" si="397"/>
        <v>59</v>
      </c>
    </row>
    <row r="1711" spans="1:21">
      <c r="A1711" s="2894" t="str">
        <f>ORG!$S$1</f>
        <v>Jun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59</v>
      </c>
      <c r="F1711" t="str">
        <f>'B1 - SOCNE SOCNI Movement'!C15</f>
        <v>Other Income</v>
      </c>
      <c r="S1711">
        <f>'B1 - SOCNE SOCNI Movement'!S15</f>
        <v>138</v>
      </c>
      <c r="U1711">
        <f t="shared" si="397"/>
        <v>138</v>
      </c>
    </row>
    <row r="1712" spans="1:21">
      <c r="A1712" s="2894" t="str">
        <f>ORG!$S$1</f>
        <v>Jun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138</v>
      </c>
      <c r="F1712" t="str">
        <f>'B1 - SOCNE SOCNI Movement'!C16</f>
        <v>Total Income</v>
      </c>
      <c r="S1712">
        <f>'B1 - SOCNE SOCNI Movement'!S16</f>
        <v>466</v>
      </c>
      <c r="U1712">
        <f t="shared" si="397"/>
        <v>466</v>
      </c>
    </row>
    <row r="1713" spans="1:21">
      <c r="A1713" s="2894" t="str">
        <f>ORG!$S$1</f>
        <v>Jun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466</v>
      </c>
      <c r="F1713" t="str">
        <f>'B1 - SOCNE SOCNI Movement'!C17</f>
        <v>Primary Care Contractor (excl. drugs, incl. NRL expenditure)</v>
      </c>
      <c r="S1713">
        <f>'B1 - SOCNE SOCNI Movement'!S17</f>
        <v>0</v>
      </c>
      <c r="U1713">
        <f t="shared" si="397"/>
        <v>0</v>
      </c>
    </row>
    <row r="1714" spans="1:21">
      <c r="A1714" s="2894" t="str">
        <f>ORG!$S$1</f>
        <v>Jun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Jun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3133</v>
      </c>
      <c r="U1715">
        <f t="shared" si="397"/>
        <v>3133</v>
      </c>
    </row>
    <row r="1716" spans="1:21">
      <c r="A1716" s="2894" t="str">
        <f>ORG!$S$1</f>
        <v>Jun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3133</v>
      </c>
      <c r="F1716" t="str">
        <f>'B1 - SOCNE SOCNI Movement'!C20</f>
        <v>Provider Services - Non Pay (excluding drugs &amp; depreciation)</v>
      </c>
      <c r="S1716">
        <f>'B1 - SOCNE SOCNI Movement'!S20</f>
        <v>-2414.8899999999994</v>
      </c>
      <c r="U1716">
        <f t="shared" si="397"/>
        <v>-2414.8899999999994</v>
      </c>
    </row>
    <row r="1717" spans="1:21">
      <c r="A1717" s="2894" t="str">
        <f>ORG!$S$1</f>
        <v>Jun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-2414.89</v>
      </c>
      <c r="F1717" t="str">
        <f>'B1 - SOCNE SOCNI Movement'!C21</f>
        <v>Secondary Care - Drugs</v>
      </c>
      <c r="S1717">
        <f>'B1 - SOCNE SOCNI Movement'!S21</f>
        <v>0</v>
      </c>
      <c r="U1717">
        <f t="shared" si="397"/>
        <v>0</v>
      </c>
    </row>
    <row r="1718" spans="1:21">
      <c r="A1718" s="2894" t="str">
        <f>ORG!$S$1</f>
        <v>Jun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Jun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Jun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Jun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Jun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Jun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Jun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Jun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Jun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Jun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-234.57000000000005</v>
      </c>
      <c r="U1727">
        <f t="shared" si="397"/>
        <v>-234.57000000000005</v>
      </c>
    </row>
    <row r="1728" spans="1:21">
      <c r="A1728" s="2894" t="str">
        <f>ORG!$S$1</f>
        <v>Jun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-234.57</v>
      </c>
      <c r="F1728" t="str">
        <f>'B1 - SOCNE SOCNI Movement'!C32</f>
        <v>AME Donated Depreciation\Impairments</v>
      </c>
      <c r="S1728">
        <f>'B1 - SOCNE SOCNI Movement'!S32</f>
        <v>-26.539999999999992</v>
      </c>
      <c r="U1728">
        <f t="shared" si="397"/>
        <v>-26.539999999999992</v>
      </c>
    </row>
    <row r="1729" spans="1:21">
      <c r="A1729" s="2894" t="str">
        <f>ORG!$S$1</f>
        <v>Jun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-26.54</v>
      </c>
      <c r="F1729" t="str">
        <f>'B1 - SOCNE SOCNI Movement'!C33</f>
        <v>Uncommitted Reserves &amp; Contingencies</v>
      </c>
      <c r="S1729">
        <f>'B1 - SOCNE SOCNI Movement'!S33</f>
        <v>0</v>
      </c>
      <c r="U1729">
        <f t="shared" si="397"/>
        <v>0</v>
      </c>
    </row>
    <row r="1730" spans="1:21">
      <c r="A1730" s="2894" t="str">
        <f>ORG!$S$1</f>
        <v>Jun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Jun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457</v>
      </c>
      <c r="U1731">
        <f t="shared" ref="U1731:U1786" si="398">S1731+T1731</f>
        <v>457</v>
      </c>
    </row>
    <row r="1732" spans="1:21">
      <c r="A1732" s="2894" t="str">
        <f>ORG!$S$1</f>
        <v>Jun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457</v>
      </c>
      <c r="F1732" t="str">
        <f>'B1 - SOCNE SOCNI Movement'!C36</f>
        <v>Forecast Outturn</v>
      </c>
      <c r="S1732">
        <f>'B1 - SOCNE SOCNI Movement'!S36</f>
        <v>9</v>
      </c>
      <c r="U1732">
        <f t="shared" si="398"/>
        <v>9</v>
      </c>
    </row>
    <row r="1733" spans="1:21">
      <c r="A1733" s="2894" t="str">
        <f>ORG!$S$1</f>
        <v>Jun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9</v>
      </c>
      <c r="F1733" t="str">
        <f>'B1 - SOCNE SOCNI Movement'!C10</f>
        <v>Revenue Resource Limit</v>
      </c>
      <c r="S1733">
        <f>'B1 - SOCNE SOCNI Movement'!T10</f>
        <v>0</v>
      </c>
      <c r="U1733">
        <f t="shared" si="398"/>
        <v>0</v>
      </c>
    </row>
    <row r="1734" spans="1:21">
      <c r="A1734" s="2894" t="str">
        <f>ORG!$S$1</f>
        <v>Jun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Jun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204</v>
      </c>
      <c r="U1735">
        <f t="shared" si="398"/>
        <v>204</v>
      </c>
    </row>
    <row r="1736" spans="1:21">
      <c r="A1736" s="2894" t="str">
        <f>ORG!$S$1</f>
        <v>Jun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16</v>
      </c>
      <c r="U1736">
        <f t="shared" si="398"/>
        <v>16</v>
      </c>
    </row>
    <row r="1737" spans="1:21">
      <c r="A1737" s="2894" t="str">
        <f>ORG!$S$1</f>
        <v>Jun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-318</v>
      </c>
      <c r="U1737">
        <f t="shared" si="398"/>
        <v>-318</v>
      </c>
    </row>
    <row r="1738" spans="1:21">
      <c r="A1738" s="2894" t="str">
        <f>ORG!$S$1</f>
        <v>Jun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278</v>
      </c>
      <c r="U1738">
        <f t="shared" si="398"/>
        <v>278</v>
      </c>
    </row>
    <row r="1739" spans="1:21">
      <c r="A1739" s="2894" t="str">
        <f>ORG!$S$1</f>
        <v>Jun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180</v>
      </c>
      <c r="U1739">
        <f t="shared" si="398"/>
        <v>180</v>
      </c>
    </row>
    <row r="1740" spans="1:21">
      <c r="A1740" s="2894" t="str">
        <f>ORG!$S$1</f>
        <v>Jun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Jun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Jun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3659</v>
      </c>
      <c r="U1742">
        <f t="shared" si="398"/>
        <v>3659</v>
      </c>
    </row>
    <row r="1743" spans="1:21">
      <c r="A1743" s="2894" t="str">
        <f>ORG!$S$1</f>
        <v>Jun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-3489.1799999999994</v>
      </c>
      <c r="U1743">
        <f t="shared" si="398"/>
        <v>-3489.1799999999994</v>
      </c>
    </row>
    <row r="1744" spans="1:21">
      <c r="A1744" s="2894" t="str">
        <f>ORG!$S$1</f>
        <v>Jun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Jun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Jun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Jun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Jun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Jun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Jun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Jun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Jun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Jun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Jun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-0.41000000000008185</v>
      </c>
      <c r="U1754">
        <f t="shared" si="398"/>
        <v>-0.41000000000008185</v>
      </c>
    </row>
    <row r="1755" spans="1:21">
      <c r="A1755" s="2894" t="str">
        <f>ORG!$S$1</f>
        <v>Jun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-0.40999999999999659</v>
      </c>
      <c r="U1755">
        <f t="shared" si="398"/>
        <v>-0.40999999999999659</v>
      </c>
    </row>
    <row r="1756" spans="1:21">
      <c r="A1756" s="2894" t="str">
        <f>ORG!$S$1</f>
        <v>Jun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Jun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Jun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169</v>
      </c>
      <c r="U1758">
        <f t="shared" si="398"/>
        <v>169</v>
      </c>
    </row>
    <row r="1759" spans="1:21">
      <c r="A1759" s="2894" t="str">
        <f>ORG!$S$1</f>
        <v>Jun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11</v>
      </c>
      <c r="U1759">
        <f t="shared" si="398"/>
        <v>11</v>
      </c>
    </row>
    <row r="1760" spans="1:21">
      <c r="A1760" s="2894" t="str">
        <f>ORG!$S$1</f>
        <v>Jun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Jun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Jun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-338</v>
      </c>
      <c r="U1762">
        <f t="shared" si="398"/>
        <v>-338</v>
      </c>
    </row>
    <row r="1763" spans="1:21">
      <c r="A1763" s="2894" t="str">
        <f>ORG!$S$1</f>
        <v>Jun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16</v>
      </c>
      <c r="U1763">
        <f t="shared" si="398"/>
        <v>16</v>
      </c>
    </row>
    <row r="1764" spans="1:21">
      <c r="A1764" s="2894" t="str">
        <f>ORG!$S$1</f>
        <v>Jun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10693.464533961756</v>
      </c>
      <c r="U1764">
        <f t="shared" si="398"/>
        <v>10693.464533961756</v>
      </c>
    </row>
    <row r="1765" spans="1:21">
      <c r="A1765" s="2894" t="str">
        <f>ORG!$S$1</f>
        <v>Jun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437.99799999999959</v>
      </c>
      <c r="U1765">
        <f t="shared" si="398"/>
        <v>437.99799999999959</v>
      </c>
    </row>
    <row r="1766" spans="1:21">
      <c r="A1766" s="2894" t="str">
        <f>ORG!$S$1</f>
        <v>Jun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10809.462533961778</v>
      </c>
      <c r="U1766">
        <f t="shared" si="398"/>
        <v>10809.462533961778</v>
      </c>
    </row>
    <row r="1767" spans="1:21">
      <c r="A1767" s="2894" t="str">
        <f>ORG!$S$1</f>
        <v>Jun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Jun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Jun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11892.134735</v>
      </c>
      <c r="U1769">
        <f t="shared" si="398"/>
        <v>11892.134735</v>
      </c>
    </row>
    <row r="1770" spans="1:21">
      <c r="A1770" s="2894" t="str">
        <f>ORG!$S$1</f>
        <v>Jun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-1079.7620077382453</v>
      </c>
      <c r="U1770">
        <f t="shared" si="398"/>
        <v>-1079.7620077382453</v>
      </c>
    </row>
    <row r="1771" spans="1:21">
      <c r="A1771" s="2894" t="str">
        <f>ORG!$S$1</f>
        <v>Jun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Jun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Jun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Jun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Jun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Jun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Jun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Jun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Jun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Jun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Jun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-3.9399999999986903</v>
      </c>
      <c r="U1781">
        <f t="shared" si="398"/>
        <v>-3.9399999999986903</v>
      </c>
    </row>
    <row r="1782" spans="1:21">
      <c r="A1782" s="2894" t="str">
        <f>ORG!$S$1</f>
        <v>Jun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-3.9699999999999136</v>
      </c>
      <c r="U1782">
        <f t="shared" si="398"/>
        <v>-3.9699999999999136</v>
      </c>
    </row>
    <row r="1783" spans="1:21">
      <c r="A1783" s="2894" t="str">
        <f>ORG!$S$1</f>
        <v>Jun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Jun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Jun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10804.462727261765</v>
      </c>
      <c r="U1785">
        <f t="shared" si="398"/>
        <v>10804.462727261765</v>
      </c>
    </row>
    <row r="1786" spans="1:21">
      <c r="A1786" s="2894" t="str">
        <f>ORG!$S$1</f>
        <v>Jun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4.9998067000124138</v>
      </c>
      <c r="U1786">
        <f t="shared" si="398"/>
        <v>4.9998067000124138</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M79" sqref="M79"/>
    </sheetView>
  </sheetViews>
  <sheetFormatPr defaultColWidth="8.84375" defaultRowHeight="15.5"/>
  <cols>
    <col min="1" max="1" width="5.15234375" customWidth="1"/>
    <col min="2" max="2" width="70.07421875" customWidth="1"/>
    <col min="6" max="6" width="2.4609375" style="414" customWidth="1"/>
    <col min="10" max="10" width="2.84375" style="759" customWidth="1"/>
    <col min="11" max="11" width="0" style="759" hidden="1" customWidth="1"/>
    <col min="12" max="12" width="8.84375" style="759"/>
    <col min="13" max="13" width="54.84375" style="753" customWidth="1"/>
    <col min="14" max="14" width="70.4609375" customWidth="1"/>
  </cols>
  <sheetData>
    <row r="1" spans="1:40" ht="30">
      <c r="A1" s="79" t="str">
        <f>+Summary!A1</f>
        <v>Public Health Wales Trust</v>
      </c>
      <c r="B1" s="71"/>
      <c r="C1" s="71"/>
      <c r="D1" s="71"/>
      <c r="E1" s="71"/>
      <c r="F1" s="323"/>
      <c r="G1" s="71"/>
      <c r="H1" s="70" t="s">
        <v>80</v>
      </c>
      <c r="I1" s="140" t="str">
        <f>+Summary!H1</f>
        <v>Jun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1809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45071</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1447</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1448</v>
      </c>
      <c r="C20" s="27">
        <v>12.25178</v>
      </c>
      <c r="D20" s="27">
        <v>12.25178</v>
      </c>
      <c r="E20" s="397">
        <f t="shared" ref="E20:E59" si="2">+D20-C20</f>
        <v>0</v>
      </c>
      <c r="F20" s="398">
        <f t="shared" ref="F20:F59" si="3">IF(AND(D20&gt;0,B20=""),1,0)</f>
        <v>0</v>
      </c>
      <c r="G20" s="27">
        <v>50</v>
      </c>
      <c r="H20" s="27">
        <v>50</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1450</v>
      </c>
      <c r="C21" s="27">
        <v>0</v>
      </c>
      <c r="D21" s="27">
        <v>0</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1451</v>
      </c>
      <c r="C22" s="27">
        <v>0</v>
      </c>
      <c r="D22" s="27">
        <v>0</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1449</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580"/>
      <c r="C28" s="27"/>
      <c r="D28" s="27"/>
      <c r="E28" s="397">
        <f t="shared" si="2"/>
        <v>0</v>
      </c>
      <c r="F28" s="398">
        <f t="shared" si="3"/>
        <v>0</v>
      </c>
      <c r="G28" s="27"/>
      <c r="H28" s="27"/>
      <c r="I28" s="397">
        <f t="shared" si="1"/>
        <v>0</v>
      </c>
      <c r="J28" s="790">
        <f t="shared" si="4"/>
        <v>0</v>
      </c>
      <c r="K28" s="1870"/>
      <c r="L28" s="2472">
        <f t="shared" si="5"/>
        <v>0</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12.25178</v>
      </c>
      <c r="D60" s="117">
        <f t="shared" si="6"/>
        <v>12.25178</v>
      </c>
      <c r="E60" s="117">
        <f t="shared" si="6"/>
        <v>0</v>
      </c>
      <c r="F60" s="398">
        <f t="shared" si="6"/>
        <v>0</v>
      </c>
      <c r="G60" s="117">
        <f t="shared" si="6"/>
        <v>576</v>
      </c>
      <c r="H60" s="117">
        <f t="shared" si="6"/>
        <v>576</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1.0383499999999999</v>
      </c>
      <c r="D64" s="27">
        <v>1.0383499999999999</v>
      </c>
      <c r="E64" s="397">
        <f>+D64-C64</f>
        <v>0</v>
      </c>
      <c r="F64" s="323"/>
      <c r="G64" s="27">
        <v>501.13637</v>
      </c>
      <c r="H64" s="27">
        <v>501.13634000000002</v>
      </c>
      <c r="I64" s="397">
        <f>+H64-G64</f>
        <v>-2.99999999811007E-5</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0</v>
      </c>
      <c r="D65" s="27">
        <v>0</v>
      </c>
      <c r="E65" s="397">
        <f>+D65-C65</f>
        <v>0</v>
      </c>
      <c r="F65" s="323"/>
      <c r="G65" s="27">
        <v>174.47577999999999</v>
      </c>
      <c r="H65" s="27">
        <v>174.47577999999999</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0</v>
      </c>
      <c r="D67" s="27">
        <v>0</v>
      </c>
      <c r="E67" s="397">
        <f>+D67-C67</f>
        <v>0</v>
      </c>
      <c r="F67" s="323"/>
      <c r="G67" s="27">
        <v>226.11799999999999</v>
      </c>
      <c r="H67" s="27">
        <v>226.11799999999999</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331.27</v>
      </c>
      <c r="H68" s="28">
        <v>331.27</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0.81893999999999989</v>
      </c>
      <c r="D69" s="117">
        <f>SUM(D64:D68)</f>
        <v>0.81893999999999989</v>
      </c>
      <c r="E69" s="117">
        <f>SUM(E64:E68)</f>
        <v>0</v>
      </c>
      <c r="F69" s="323"/>
      <c r="G69" s="117">
        <f>SUM(G64:G68)</f>
        <v>1233.0001499999998</v>
      </c>
      <c r="H69" s="117">
        <f>SUM(H64:H68)</f>
        <v>1233.0001199999999</v>
      </c>
      <c r="I69" s="117">
        <f>SUM(I64:I68)</f>
        <v>-2.99999999811007E-5</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13.07072</v>
      </c>
      <c r="D95" s="117">
        <f>+D60+D69+D93</f>
        <v>13.07072</v>
      </c>
      <c r="E95" s="117">
        <f>IF(C95&lt;&gt;"",D95-C95,"")</f>
        <v>0</v>
      </c>
      <c r="F95" s="323"/>
      <c r="G95" s="117">
        <f>+G60+G69+G93</f>
        <v>1809.0001499999998</v>
      </c>
      <c r="H95" s="117">
        <f>+H60+H69+H93</f>
        <v>1809.0001199999999</v>
      </c>
      <c r="I95" s="117">
        <f>IF(G95&lt;&gt;"",H95-G95,"")</f>
        <v>-2.9999999924257281E-5</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7</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13.07072</v>
      </c>
      <c r="D129" s="117">
        <f>+D95-SUM(D106+D110+D124)+D126</f>
        <v>13.07072</v>
      </c>
      <c r="E129" s="117">
        <f>+E95-SUM(E106+E110+E124)+E126</f>
        <v>0</v>
      </c>
      <c r="F129" s="323"/>
      <c r="G129" s="117">
        <f>+G95-SUM(G106+G110+G124)+G126</f>
        <v>1809.0001499999998</v>
      </c>
      <c r="H129" s="117">
        <f>+H95-SUM(H106+H110+H124)+H126</f>
        <v>1809.0001199999999</v>
      </c>
      <c r="I129" s="117">
        <f>+I95-SUM(I106+I110+I124)+I126</f>
        <v>-2.9999999924257281E-5</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-1795.9292800000001</v>
      </c>
      <c r="E131" s="358"/>
      <c r="F131" s="323"/>
      <c r="G131" s="358"/>
      <c r="H131" s="117">
        <f>+H129-C7</f>
        <v>1.199999999244028E-4</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D78" sqref="D78:E78"/>
    </sheetView>
  </sheetViews>
  <sheetFormatPr defaultColWidth="8.84375" defaultRowHeight="15.5"/>
  <cols>
    <col min="1" max="1" width="5.84375" customWidth="1"/>
    <col min="2" max="2" width="46.53515625" bestFit="1" customWidth="1"/>
    <col min="3" max="3" width="16" customWidth="1"/>
    <col min="21" max="24" width="8.84375" style="759"/>
    <col min="25" max="25" width="60.07421875" customWidth="1"/>
    <col min="26" max="26" width="91.8437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Jun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0</v>
      </c>
      <c r="J7" s="1124">
        <f>IF(J6&lt;=VLOOKUP(Summary!$H$1,Summary!$V$1:$W$12,2,FALSE),1,0)</f>
        <v>0</v>
      </c>
      <c r="K7" s="1124">
        <f>IF(K6&lt;=VLOOKUP(Summary!$H$1,Summary!$V$1:$W$12,2,FALSE),1,0)</f>
        <v>0</v>
      </c>
      <c r="L7" s="1124">
        <f>IF(L6&lt;=VLOOKUP(Summary!$H$1,Summary!$V$1:$W$12,2,FALSE),1,0)</f>
        <v>0</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1447</v>
      </c>
      <c r="C12" s="575" t="s">
        <v>1457</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1448</v>
      </c>
      <c r="C13" s="576" t="s">
        <v>1452</v>
      </c>
      <c r="D13" s="27">
        <v>50</v>
      </c>
      <c r="E13" s="27">
        <v>50</v>
      </c>
      <c r="F13" s="27">
        <v>2.8710200000000001</v>
      </c>
      <c r="G13" s="27">
        <v>4.2888400000000004</v>
      </c>
      <c r="H13" s="27">
        <v>5.09192</v>
      </c>
      <c r="I13" s="27">
        <v>3.1749999999999998</v>
      </c>
      <c r="J13" s="27">
        <v>2.9750000000000001</v>
      </c>
      <c r="K13" s="27">
        <v>5</v>
      </c>
      <c r="L13" s="27">
        <v>5</v>
      </c>
      <c r="M13" s="27">
        <v>5</v>
      </c>
      <c r="N13" s="27">
        <v>5</v>
      </c>
      <c r="O13" s="27">
        <v>5</v>
      </c>
      <c r="P13" s="27">
        <v>5</v>
      </c>
      <c r="Q13" s="27">
        <v>2</v>
      </c>
      <c r="R13" s="196">
        <f t="shared" ref="R13:R43" si="4">SUMPRODUCT($F$7:$Q$7,F13:Q13)</f>
        <v>12.25178</v>
      </c>
      <c r="S13" s="196">
        <f t="shared" si="1"/>
        <v>50.401780000000002</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1450</v>
      </c>
      <c r="C14" s="576" t="s">
        <v>1453</v>
      </c>
      <c r="D14" s="27">
        <v>186</v>
      </c>
      <c r="E14" s="27">
        <v>186</v>
      </c>
      <c r="F14" s="27">
        <v>0</v>
      </c>
      <c r="G14" s="27">
        <v>0</v>
      </c>
      <c r="H14" s="27">
        <v>0</v>
      </c>
      <c r="I14" s="27">
        <v>0</v>
      </c>
      <c r="J14" s="27">
        <v>0</v>
      </c>
      <c r="K14" s="27">
        <v>0</v>
      </c>
      <c r="L14" s="27">
        <v>31</v>
      </c>
      <c r="M14" s="27">
        <v>31</v>
      </c>
      <c r="N14" s="27">
        <v>31</v>
      </c>
      <c r="O14" s="27">
        <v>31</v>
      </c>
      <c r="P14" s="27">
        <v>31</v>
      </c>
      <c r="Q14" s="27">
        <v>31</v>
      </c>
      <c r="R14" s="196">
        <f t="shared" si="4"/>
        <v>0</v>
      </c>
      <c r="S14" s="196">
        <f t="shared" si="1"/>
        <v>186</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1455</v>
      </c>
      <c r="C15" s="576" t="s">
        <v>1453</v>
      </c>
      <c r="D15" s="27">
        <v>340</v>
      </c>
      <c r="E15" s="27">
        <v>340</v>
      </c>
      <c r="F15" s="27">
        <v>0</v>
      </c>
      <c r="G15" s="27">
        <v>0</v>
      </c>
      <c r="H15" s="27">
        <v>0</v>
      </c>
      <c r="I15" s="27">
        <v>0</v>
      </c>
      <c r="J15" s="27">
        <v>0</v>
      </c>
      <c r="K15" s="27">
        <v>0</v>
      </c>
      <c r="L15" s="27">
        <v>113</v>
      </c>
      <c r="M15" s="27">
        <v>113</v>
      </c>
      <c r="N15" s="27">
        <v>114</v>
      </c>
      <c r="O15" s="27">
        <v>0</v>
      </c>
      <c r="P15" s="27">
        <v>0</v>
      </c>
      <c r="Q15" s="27">
        <v>0</v>
      </c>
      <c r="R15" s="196">
        <f t="shared" si="4"/>
        <v>0</v>
      </c>
      <c r="S15" s="196">
        <f t="shared" si="1"/>
        <v>340</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1454</v>
      </c>
      <c r="C19" s="576" t="s">
        <v>1458</v>
      </c>
      <c r="D19" s="27"/>
      <c r="E19" s="27"/>
      <c r="F19" s="27"/>
      <c r="G19" s="27"/>
      <c r="H19" s="27"/>
      <c r="I19" s="27"/>
      <c r="J19" s="27"/>
      <c r="K19" s="27"/>
      <c r="L19" s="27"/>
      <c r="M19" s="27"/>
      <c r="N19" s="27"/>
      <c r="O19" s="27"/>
      <c r="P19" s="27"/>
      <c r="Q19" s="27"/>
      <c r="R19" s="196">
        <f t="shared" si="4"/>
        <v>0</v>
      </c>
      <c r="S19" s="196">
        <f t="shared" si="1"/>
        <v>0</v>
      </c>
      <c r="T19" s="6"/>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c r="C20" s="576"/>
      <c r="D20" s="27"/>
      <c r="E20" s="27"/>
      <c r="F20" s="27"/>
      <c r="G20" s="27"/>
      <c r="H20" s="27"/>
      <c r="I20" s="27"/>
      <c r="J20" s="27"/>
      <c r="K20" s="27"/>
      <c r="L20" s="27"/>
      <c r="M20" s="27"/>
      <c r="N20" s="27"/>
      <c r="O20" s="27"/>
      <c r="P20" s="27"/>
      <c r="Q20" s="27"/>
      <c r="R20" s="196">
        <f t="shared" si="4"/>
        <v>0</v>
      </c>
      <c r="S20" s="196">
        <f t="shared" si="1"/>
        <v>0</v>
      </c>
      <c r="T20" s="6"/>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576</v>
      </c>
      <c r="E45" s="117">
        <f t="shared" ref="E45:S45" si="9">SUM(E12:E44)</f>
        <v>576</v>
      </c>
      <c r="F45" s="117">
        <f t="shared" si="9"/>
        <v>2.8710200000000001</v>
      </c>
      <c r="G45" s="117">
        <f t="shared" si="9"/>
        <v>4.2888400000000004</v>
      </c>
      <c r="H45" s="117">
        <f t="shared" si="9"/>
        <v>5.09192</v>
      </c>
      <c r="I45" s="117">
        <f t="shared" si="9"/>
        <v>3.1749999999999998</v>
      </c>
      <c r="J45" s="117">
        <f t="shared" si="9"/>
        <v>2.9750000000000001</v>
      </c>
      <c r="K45" s="117">
        <f t="shared" si="9"/>
        <v>5</v>
      </c>
      <c r="L45" s="117">
        <f t="shared" si="9"/>
        <v>149</v>
      </c>
      <c r="M45" s="117">
        <f t="shared" si="9"/>
        <v>149</v>
      </c>
      <c r="N45" s="117">
        <f t="shared" si="9"/>
        <v>150</v>
      </c>
      <c r="O45" s="117">
        <f t="shared" si="9"/>
        <v>36</v>
      </c>
      <c r="P45" s="117">
        <f t="shared" si="9"/>
        <v>36</v>
      </c>
      <c r="Q45" s="117">
        <f t="shared" si="9"/>
        <v>33</v>
      </c>
      <c r="R45" s="117">
        <f>SUM(R12:R44)</f>
        <v>12.25178</v>
      </c>
      <c r="S45" s="117">
        <f t="shared" si="9"/>
        <v>576.40178000000003</v>
      </c>
      <c r="T45" s="616">
        <f>+'I - Capital RLM'!D60</f>
        <v>12.25178</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0</v>
      </c>
      <c r="J46" s="323">
        <f>IF('B - Monthly Positions'!H$7=1,'J - Capital In Year Schemes'!J45,0)</f>
        <v>0</v>
      </c>
      <c r="K46" s="323">
        <f>IF('B - Monthly Positions'!I$7=1,'J - Capital In Year Schemes'!K45,0)</f>
        <v>0</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12.25178</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1456</v>
      </c>
      <c r="D48" s="32">
        <v>501.13634000000002</v>
      </c>
      <c r="E48" s="27">
        <v>501.13634000000002</v>
      </c>
      <c r="F48" s="27">
        <v>1.0383499999999999</v>
      </c>
      <c r="G48" s="27">
        <v>0</v>
      </c>
      <c r="H48" s="27">
        <v>0</v>
      </c>
      <c r="I48" s="27">
        <v>0</v>
      </c>
      <c r="J48" s="27">
        <v>62</v>
      </c>
      <c r="K48" s="27">
        <v>62</v>
      </c>
      <c r="L48" s="27">
        <v>62</v>
      </c>
      <c r="M48" s="27">
        <v>62</v>
      </c>
      <c r="N48" s="27">
        <v>62</v>
      </c>
      <c r="O48" s="27">
        <v>62</v>
      </c>
      <c r="P48" s="27">
        <v>62</v>
      </c>
      <c r="Q48" s="27">
        <v>66</v>
      </c>
      <c r="R48" s="196">
        <f>SUMPRODUCT($F$7:$Q$7,F48:Q48)</f>
        <v>1.0383499999999999</v>
      </c>
      <c r="S48" s="196">
        <f>SUM(F48:Q48)</f>
        <v>501.03835000000004</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1456</v>
      </c>
      <c r="D49" s="32">
        <v>174.47577999999999</v>
      </c>
      <c r="E49" s="27">
        <v>174.47577999999999</v>
      </c>
      <c r="F49" s="27">
        <v>0</v>
      </c>
      <c r="G49" s="27">
        <v>0</v>
      </c>
      <c r="H49" s="27">
        <v>0</v>
      </c>
      <c r="I49" s="27">
        <v>0</v>
      </c>
      <c r="J49" s="27">
        <v>22</v>
      </c>
      <c r="K49" s="27">
        <v>22</v>
      </c>
      <c r="L49" s="27">
        <v>22</v>
      </c>
      <c r="M49" s="27">
        <v>22</v>
      </c>
      <c r="N49" s="27">
        <v>22</v>
      </c>
      <c r="O49" s="27">
        <v>22</v>
      </c>
      <c r="P49" s="27">
        <v>22</v>
      </c>
      <c r="Q49" s="27">
        <v>20</v>
      </c>
      <c r="R49" s="196">
        <f>SUMPRODUCT($F$7:$Q$7,F49:Q49)</f>
        <v>0</v>
      </c>
      <c r="S49" s="196">
        <f>SUM(F49:Q49)</f>
        <v>174</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1453</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1453</v>
      </c>
      <c r="D51" s="32">
        <v>226.11799999999999</v>
      </c>
      <c r="E51" s="27">
        <v>226.11799999999999</v>
      </c>
      <c r="F51" s="27">
        <v>0</v>
      </c>
      <c r="G51" s="27">
        <v>0</v>
      </c>
      <c r="H51" s="27">
        <v>0</v>
      </c>
      <c r="I51" s="27">
        <v>0</v>
      </c>
      <c r="J51" s="27">
        <v>28</v>
      </c>
      <c r="K51" s="27">
        <v>28</v>
      </c>
      <c r="L51" s="27">
        <v>28</v>
      </c>
      <c r="M51" s="27">
        <v>28</v>
      </c>
      <c r="N51" s="27">
        <v>28</v>
      </c>
      <c r="O51" s="27">
        <v>28</v>
      </c>
      <c r="P51" s="27">
        <v>28</v>
      </c>
      <c r="Q51" s="27">
        <v>30.4</v>
      </c>
      <c r="R51" s="196">
        <f>SUMPRODUCT($F$7:$Q$7,F51:Q51)</f>
        <v>0</v>
      </c>
      <c r="S51" s="196">
        <f>SUM(F51:Q51)</f>
        <v>226.4</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1456</v>
      </c>
      <c r="D52" s="33">
        <v>331.27</v>
      </c>
      <c r="E52" s="28">
        <v>331.27</v>
      </c>
      <c r="F52" s="28">
        <v>0</v>
      </c>
      <c r="G52" s="28">
        <v>6.0310000000000002E-2</v>
      </c>
      <c r="H52" s="28">
        <v>-0.27972000000000002</v>
      </c>
      <c r="I52" s="28">
        <v>0</v>
      </c>
      <c r="J52" s="28">
        <v>0</v>
      </c>
      <c r="K52" s="28">
        <v>0</v>
      </c>
      <c r="L52" s="28">
        <v>0</v>
      </c>
      <c r="M52" s="28">
        <v>66</v>
      </c>
      <c r="N52" s="28">
        <v>66</v>
      </c>
      <c r="O52" s="28">
        <v>66</v>
      </c>
      <c r="P52" s="28">
        <v>66</v>
      </c>
      <c r="Q52" s="28">
        <v>67.5</v>
      </c>
      <c r="R52" s="118">
        <f>SUMPRODUCT($F$7:$Q$7,F52:Q52)</f>
        <v>-0.21941000000000002</v>
      </c>
      <c r="S52" s="118">
        <f>SUM(F52:Q52)</f>
        <v>331.28059000000002</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1233.0001199999999</v>
      </c>
      <c r="E53" s="117">
        <f t="shared" ref="E53:S53" si="10">SUM(E48:E52)</f>
        <v>1233.0001199999999</v>
      </c>
      <c r="F53" s="117">
        <f t="shared" si="10"/>
        <v>1.0383499999999999</v>
      </c>
      <c r="G53" s="117">
        <f t="shared" si="10"/>
        <v>6.0310000000000002E-2</v>
      </c>
      <c r="H53" s="117">
        <f t="shared" si="10"/>
        <v>-0.27972000000000002</v>
      </c>
      <c r="I53" s="117">
        <f t="shared" si="10"/>
        <v>0</v>
      </c>
      <c r="J53" s="117">
        <f t="shared" si="10"/>
        <v>112</v>
      </c>
      <c r="K53" s="117">
        <f t="shared" si="10"/>
        <v>112</v>
      </c>
      <c r="L53" s="117">
        <f t="shared" si="10"/>
        <v>112</v>
      </c>
      <c r="M53" s="117">
        <f t="shared" si="10"/>
        <v>178</v>
      </c>
      <c r="N53" s="117">
        <f t="shared" si="10"/>
        <v>178</v>
      </c>
      <c r="O53" s="117">
        <f t="shared" si="10"/>
        <v>178</v>
      </c>
      <c r="P53" s="117">
        <f t="shared" si="10"/>
        <v>178</v>
      </c>
      <c r="Q53" s="117">
        <f t="shared" si="10"/>
        <v>183.9</v>
      </c>
      <c r="R53" s="117">
        <f t="shared" si="10"/>
        <v>0.81893999999999989</v>
      </c>
      <c r="S53" s="117">
        <f t="shared" si="10"/>
        <v>1232.71894</v>
      </c>
      <c r="T53" s="615">
        <f>+'I - Capital RLM'!D69</f>
        <v>0.81893999999999989</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0</v>
      </c>
      <c r="J54" s="323">
        <f>IF('B - Monthly Positions'!H$7=1,'J - Capital In Year Schemes'!J53,0)</f>
        <v>0</v>
      </c>
      <c r="K54" s="323">
        <f>IF('B - Monthly Positions'!I$7=1,'J - Capital In Year Schemes'!K53,0)</f>
        <v>0</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0.81894</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1809.0001199999999</v>
      </c>
      <c r="E78" s="117">
        <f t="shared" ref="E78:S78" si="20">+E45+E53+E76</f>
        <v>1809.0001199999999</v>
      </c>
      <c r="F78" s="117">
        <f t="shared" si="20"/>
        <v>3.90937</v>
      </c>
      <c r="G78" s="117">
        <f t="shared" si="20"/>
        <v>4.3491500000000007</v>
      </c>
      <c r="H78" s="117">
        <f t="shared" si="20"/>
        <v>4.8121999999999998</v>
      </c>
      <c r="I78" s="117">
        <f t="shared" si="20"/>
        <v>3.1749999999999998</v>
      </c>
      <c r="J78" s="117">
        <f t="shared" si="20"/>
        <v>114.97499999999999</v>
      </c>
      <c r="K78" s="117">
        <f t="shared" si="20"/>
        <v>117</v>
      </c>
      <c r="L78" s="117">
        <f t="shared" si="20"/>
        <v>261</v>
      </c>
      <c r="M78" s="117">
        <f t="shared" si="20"/>
        <v>327</v>
      </c>
      <c r="N78" s="117">
        <f t="shared" si="20"/>
        <v>328</v>
      </c>
      <c r="O78" s="117">
        <f t="shared" si="20"/>
        <v>214</v>
      </c>
      <c r="P78" s="117">
        <f t="shared" si="20"/>
        <v>214</v>
      </c>
      <c r="Q78" s="117">
        <f t="shared" si="20"/>
        <v>216.9</v>
      </c>
      <c r="R78" s="117">
        <f>+R45+R53+R76</f>
        <v>13.07072</v>
      </c>
      <c r="S78" s="117">
        <f t="shared" si="20"/>
        <v>1809.1207199999999</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84375" defaultRowHeight="15.5"/>
  <cols>
    <col min="1" max="1" width="5.07421875" customWidth="1"/>
    <col min="2" max="2" width="54" customWidth="1"/>
    <col min="3" max="5" width="21.84375" customWidth="1"/>
    <col min="6" max="6" width="10.84375" customWidth="1"/>
    <col min="8" max="8" width="9.84375" customWidth="1"/>
    <col min="16" max="16" width="24.07421875" bestFit="1" customWidth="1"/>
    <col min="17" max="20" width="8.84375" style="753"/>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Jun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topLeftCell="A4" zoomScale="90" zoomScaleNormal="90" zoomScaleSheetLayoutView="85" workbookViewId="0">
      <selection activeCell="F21" sqref="F21"/>
    </sheetView>
  </sheetViews>
  <sheetFormatPr defaultColWidth="9.84375" defaultRowHeight="15.5"/>
  <cols>
    <col min="1" max="1" width="5.84375" customWidth="1"/>
    <col min="2" max="2" width="58.84375" customWidth="1"/>
    <col min="3" max="6" width="14.84375" customWidth="1"/>
    <col min="7" max="7" width="14.84375" style="753" customWidth="1"/>
    <col min="8" max="8" width="35.84375" style="753" bestFit="1" customWidth="1"/>
    <col min="9" max="9" width="75.84375" customWidth="1"/>
    <col min="10" max="10" width="15.53515625" customWidth="1"/>
  </cols>
  <sheetData>
    <row r="1" spans="1:37" ht="38.25" customHeight="1">
      <c r="A1" s="1357" t="str">
        <f>Summary!A1</f>
        <v>Public Health Wales Trust</v>
      </c>
      <c r="B1" s="1641"/>
      <c r="C1" s="71"/>
      <c r="D1" s="150" t="s">
        <v>460</v>
      </c>
      <c r="E1" s="1640" t="str">
        <f>Summary!H1</f>
        <v>Jun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3</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-1.5329998404922662E-4</v>
      </c>
      <c r="E11" s="1612">
        <f t="shared" ref="E11:E18" si="0">SUM(D11-C11)</f>
        <v>-1.5329998404922662E-4</v>
      </c>
      <c r="F11" s="1611">
        <f>Summary!C11</f>
        <v>63</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2018+2715+1490+197</f>
        <v>6420</v>
      </c>
      <c r="E12" s="1612">
        <f t="shared" si="0"/>
        <v>197</v>
      </c>
      <c r="F12" s="1611">
        <f>504+679+373+49</f>
        <v>1605</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122</v>
      </c>
      <c r="E13" s="1612">
        <f>SUM(D13-C13)</f>
        <v>122</v>
      </c>
      <c r="F13" s="1611">
        <f>'B - Monthly Positions'!P79</f>
        <v>30.47</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0</v>
      </c>
      <c r="E15" s="1612">
        <f t="shared" si="0"/>
        <v>0</v>
      </c>
      <c r="F15" s="1611">
        <f>'B - Monthly Positions'!P35</f>
        <v>0</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RLM'!C7</f>
        <v>-1809</v>
      </c>
      <c r="D20" s="1611">
        <f>-'I - Capital RLM'!H95</f>
        <v>-1809.0001199999999</v>
      </c>
      <c r="E20" s="1612">
        <f>SUM(D20-C20)</f>
        <v>-1.199999999244028E-4</v>
      </c>
      <c r="F20" s="1611">
        <f>-'I - Capital RLM'!D95</f>
        <v>-13.07072</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-50</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-20339</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16727</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372</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-3290</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2969</v>
      </c>
      <c r="D29" s="1616">
        <f>SUM(D11:D27)</f>
        <v>3287.9997267000163</v>
      </c>
      <c r="E29" s="1617">
        <f>SUM(E11:E27)</f>
        <v>318.99972670001603</v>
      </c>
      <c r="F29" s="1616">
        <f>SUM(F11:F27)</f>
        <v>-1604.6007199999985</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-2969</v>
      </c>
      <c r="D31" s="1611">
        <f>-D29</f>
        <v>-3287.9997267000163</v>
      </c>
      <c r="E31" s="1612">
        <f>SUM(D31-C31)</f>
        <v>-318.99972670001625</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-107</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-2969</v>
      </c>
      <c r="D36" s="1603">
        <f>SUM(D31:D34)</f>
        <v>-3287.9997267000163</v>
      </c>
      <c r="E36" s="1604">
        <f>SUM(E31:E34)</f>
        <v>-318.99972670001625</v>
      </c>
      <c r="F36" s="1603">
        <f>SUM(F31:F34)</f>
        <v>-107</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B18" sqref="B18"/>
    </sheetView>
  </sheetViews>
  <sheetFormatPr defaultRowHeight="15.5"/>
  <cols>
    <col min="1" max="1" width="1.4609375" customWidth="1"/>
    <col min="2" max="2" width="48.84375" customWidth="1"/>
    <col min="3" max="3" width="10.84375" customWidth="1"/>
    <col min="4" max="4" width="16.84375" customWidth="1"/>
    <col min="5" max="6" width="14.15234375" customWidth="1"/>
    <col min="7" max="7" width="20.84375" customWidth="1"/>
    <col min="8" max="8" width="29.53515625" customWidth="1"/>
    <col min="9" max="9" width="22.84375" customWidth="1"/>
    <col min="10" max="10" width="24.84375" customWidth="1"/>
    <col min="11" max="11" width="72.53515625" customWidth="1"/>
    <col min="12" max="15" width="8.84375" style="1452"/>
    <col min="16" max="16" width="50.15234375" style="1452" bestFit="1" customWidth="1"/>
    <col min="17" max="17" width="102.53515625" style="1452" customWidth="1"/>
    <col min="18" max="43" width="8.84375" style="1452"/>
  </cols>
  <sheetData>
    <row r="1" spans="1:62">
      <c r="A1" s="807"/>
      <c r="B1" s="810" t="str">
        <f>+Summary!A1</f>
        <v>Public Health Wales Trust</v>
      </c>
      <c r="C1" s="881"/>
      <c r="D1" s="882"/>
      <c r="E1" s="882"/>
      <c r="F1" s="883"/>
      <c r="G1" s="808"/>
      <c r="H1" s="814"/>
      <c r="I1" s="1145" t="s">
        <v>461</v>
      </c>
      <c r="J1" s="988" t="str">
        <f>+Summary!H1</f>
        <v>Jun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Jun 23 =</v>
      </c>
      <c r="I2" s="836">
        <f>VLOOKUP(J1,$BE$1:$BH$12,2,0)</f>
        <v>45030</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Jun 23 =</v>
      </c>
      <c r="I3" s="838">
        <f>VLOOKUP(J1,$BE$1:$BH$12,3,0)</f>
        <v>44988</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401</v>
      </c>
      <c r="C6" s="633">
        <v>50054375</v>
      </c>
      <c r="D6" s="634">
        <v>45005</v>
      </c>
      <c r="E6" s="635">
        <v>10500</v>
      </c>
      <c r="F6" s="636">
        <v>10500</v>
      </c>
      <c r="G6" s="825" t="str">
        <f>IF(D6="","",IF(D6&gt;$I$2,"No, less than 11 weeks","Yes, valid entry for period"))</f>
        <v>Yes, valid entry for period</v>
      </c>
      <c r="H6" s="826">
        <f>IF(F6="","",IF(D6&lt;$I$3,"",F6))</f>
        <v>10500</v>
      </c>
      <c r="I6" s="826" t="str">
        <f>IF(F6="","",IF(D6&gt;=$I$3,"",F6))</f>
        <v/>
      </c>
      <c r="J6" s="827">
        <f>IF(D6="","",SUM(D6+119))</f>
        <v>45124</v>
      </c>
      <c r="K6" s="647" t="s">
        <v>1460</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732</v>
      </c>
      <c r="C7" s="633">
        <v>50054374</v>
      </c>
      <c r="D7" s="634">
        <v>45005</v>
      </c>
      <c r="E7" s="635">
        <v>10500</v>
      </c>
      <c r="F7" s="636">
        <v>10500</v>
      </c>
      <c r="G7" s="825" t="str">
        <f t="shared" ref="G7:G70" si="2">IF(D7="","",IF(D7&gt;$I$2,"No, less than 11 weeks","Yes, valid entry for period"))</f>
        <v>Yes, valid entry for period</v>
      </c>
      <c r="H7" s="828">
        <f t="shared" ref="H7:H70" si="3">IF(F7="","",IF(D7&lt;$I$3,"",F7))</f>
        <v>10500</v>
      </c>
      <c r="I7" s="828" t="str">
        <f t="shared" ref="I7:I70" si="4">IF(F7="","",IF(D7&gt;=$I$3,"",F7))</f>
        <v/>
      </c>
      <c r="J7" s="829">
        <f t="shared" ref="J7:J70" si="5">IF(D7="","",SUM(D7+119))</f>
        <v>45124</v>
      </c>
      <c r="K7" s="647" t="s">
        <v>1460</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997</v>
      </c>
      <c r="C8" s="633">
        <v>50054421</v>
      </c>
      <c r="D8" s="634">
        <v>45007</v>
      </c>
      <c r="E8" s="635">
        <v>21989.83</v>
      </c>
      <c r="F8" s="636">
        <v>21200.02</v>
      </c>
      <c r="G8" s="825" t="str">
        <f t="shared" si="2"/>
        <v>Yes, valid entry for period</v>
      </c>
      <c r="H8" s="828">
        <f t="shared" si="3"/>
        <v>21200.02</v>
      </c>
      <c r="I8" s="828" t="str">
        <f t="shared" si="4"/>
        <v/>
      </c>
      <c r="J8" s="829">
        <f t="shared" si="5"/>
        <v>45126</v>
      </c>
      <c r="K8" s="647" t="s">
        <v>1460</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997</v>
      </c>
      <c r="C9" s="633">
        <v>60005038</v>
      </c>
      <c r="D9" s="634">
        <v>45007</v>
      </c>
      <c r="E9" s="635">
        <v>-21176.55</v>
      </c>
      <c r="F9" s="636">
        <v>-21176.55</v>
      </c>
      <c r="G9" s="825" t="str">
        <f t="shared" si="2"/>
        <v>Yes, valid entry for period</v>
      </c>
      <c r="H9" s="828">
        <f t="shared" si="3"/>
        <v>-21176.55</v>
      </c>
      <c r="I9" s="828" t="str">
        <f t="shared" si="4"/>
        <v/>
      </c>
      <c r="J9" s="829">
        <f t="shared" si="5"/>
        <v>45126</v>
      </c>
      <c r="K9" s="647" t="s">
        <v>1460</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t="s">
        <v>407</v>
      </c>
      <c r="C10" s="633">
        <v>50054372</v>
      </c>
      <c r="D10" s="634">
        <v>45005</v>
      </c>
      <c r="E10" s="635">
        <v>10500</v>
      </c>
      <c r="F10" s="636">
        <v>10500</v>
      </c>
      <c r="G10" s="825" t="str">
        <f t="shared" si="2"/>
        <v>Yes, valid entry for period</v>
      </c>
      <c r="H10" s="828">
        <f t="shared" si="3"/>
        <v>10500</v>
      </c>
      <c r="I10" s="828" t="str">
        <f t="shared" si="4"/>
        <v/>
      </c>
      <c r="J10" s="829">
        <f t="shared" si="5"/>
        <v>45124</v>
      </c>
      <c r="K10" s="647" t="s">
        <v>1460</v>
      </c>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t="s">
        <v>49</v>
      </c>
      <c r="C11" s="633">
        <v>50054336</v>
      </c>
      <c r="D11" s="634">
        <v>45005</v>
      </c>
      <c r="E11" s="635">
        <v>74.7</v>
      </c>
      <c r="F11" s="636">
        <v>74.7</v>
      </c>
      <c r="G11" s="825" t="str">
        <f t="shared" si="2"/>
        <v>Yes, valid entry for period</v>
      </c>
      <c r="H11" s="828">
        <f t="shared" si="3"/>
        <v>74.7</v>
      </c>
      <c r="I11" s="828" t="str">
        <f t="shared" si="4"/>
        <v/>
      </c>
      <c r="J11" s="829">
        <f t="shared" si="5"/>
        <v>45124</v>
      </c>
      <c r="K11" s="647" t="s">
        <v>1461</v>
      </c>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t="s">
        <v>731</v>
      </c>
      <c r="C12" s="633">
        <v>50054376</v>
      </c>
      <c r="D12" s="634">
        <v>45005</v>
      </c>
      <c r="E12" s="635">
        <v>10500</v>
      </c>
      <c r="F12" s="636">
        <v>10500</v>
      </c>
      <c r="G12" s="825" t="str">
        <f t="shared" si="2"/>
        <v>Yes, valid entry for period</v>
      </c>
      <c r="H12" s="828">
        <f t="shared" si="3"/>
        <v>10500</v>
      </c>
      <c r="I12" s="828" t="str">
        <f t="shared" si="4"/>
        <v/>
      </c>
      <c r="J12" s="829">
        <f t="shared" si="5"/>
        <v>45124</v>
      </c>
      <c r="K12" s="647" t="s">
        <v>1460</v>
      </c>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t="s">
        <v>1460</v>
      </c>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42887.98</v>
      </c>
      <c r="F151" s="833">
        <f>SUM(F6:F150)</f>
        <v>42098.170000000006</v>
      </c>
      <c r="G151" s="644"/>
      <c r="H151" s="834">
        <f>SUM(H6:H150)</f>
        <v>42098.170000000006</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42098.170000000006</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4375" defaultRowHeight="15" customHeight="1"/>
  <cols>
    <col min="1" max="1" width="59.15234375" customWidth="1"/>
    <col min="2" max="2" width="41.84375" customWidth="1"/>
    <col min="3" max="3" width="11.53515625" customWidth="1"/>
    <col min="4" max="7" width="16" customWidth="1"/>
    <col min="8" max="8" width="3.84375" customWidth="1"/>
    <col min="9" max="9" width="15.84375" customWidth="1"/>
    <col min="16" max="16" width="50.84375" customWidth="1"/>
    <col min="17" max="17" width="92.4609375" customWidth="1"/>
  </cols>
  <sheetData>
    <row r="1" spans="1:45" ht="25">
      <c r="A1" s="421" t="str">
        <f>+Summary!A1</f>
        <v>Public Health Wales Trust</v>
      </c>
      <c r="B1" s="246"/>
      <c r="C1" s="422"/>
      <c r="D1" s="423" t="str">
        <f>+Summary!G1</f>
        <v>Period :</v>
      </c>
      <c r="E1" s="423" t="str">
        <f>+Summary!H1</f>
        <v>Jun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4375" defaultRowHeight="15.5"/>
  <cols>
    <col min="1" max="1" width="55.15234375" customWidth="1"/>
    <col min="2" max="2" width="15.07421875" customWidth="1"/>
    <col min="4" max="7" width="15.84375" customWidth="1"/>
    <col min="8" max="8" width="2.53515625" customWidth="1"/>
    <col min="9" max="9" width="15.84375" customWidth="1"/>
    <col min="10" max="10" width="10.84375" bestFit="1" customWidth="1"/>
    <col min="14" max="14" width="55.15234375" customWidth="1"/>
    <col min="15" max="15" width="82.4609375" customWidth="1"/>
  </cols>
  <sheetData>
    <row r="1" spans="1:59" ht="25">
      <c r="A1" s="421" t="str">
        <f>+Summary!A1</f>
        <v>Public Health Wales Trust</v>
      </c>
      <c r="B1" s="80"/>
      <c r="C1" s="684"/>
      <c r="D1" s="685"/>
      <c r="E1" s="685"/>
      <c r="F1" s="423" t="str">
        <f>+'N - GMS'!D1</f>
        <v>Period :</v>
      </c>
      <c r="G1" s="423" t="str">
        <f>+'N - GMS'!E1</f>
        <v>Jun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4375" defaultRowHeight="15.5"/>
  <cols>
    <col min="1" max="1" width="6.84375" style="1467" customWidth="1"/>
    <col min="2" max="2" width="68.4609375" style="1467" customWidth="1"/>
    <col min="3" max="3" width="31.84375" style="1467" bestFit="1" customWidth="1"/>
    <col min="4" max="18" width="10.84375" style="1467" customWidth="1"/>
    <col min="19" max="19" width="8.84375" style="1467"/>
    <col min="20" max="20" width="13.84375" style="1467" customWidth="1"/>
    <col min="21" max="21" width="32.84375" style="1467" bestFit="1" customWidth="1"/>
    <col min="22" max="23" width="8.84375" style="1467"/>
    <col min="24" max="24" width="10.15234375" style="1467" customWidth="1"/>
    <col min="25" max="27" width="8.84375" style="1467"/>
    <col min="28" max="28" width="8.84375" style="2589"/>
    <col min="29" max="29" width="9.53515625" style="1467" customWidth="1"/>
    <col min="30" max="16384" width="8.84375" style="1467"/>
  </cols>
  <sheetData>
    <row r="1" spans="1:32" ht="30">
      <c r="A1" s="2567" t="str">
        <f>+Summary!A1</f>
        <v>Public Health Wales Trust</v>
      </c>
      <c r="B1" s="2647"/>
      <c r="C1" s="2648"/>
      <c r="D1" s="2649"/>
      <c r="E1" s="2649"/>
      <c r="F1" s="2649"/>
      <c r="G1" s="2649"/>
      <c r="H1" s="2649"/>
      <c r="I1" s="2678" t="s">
        <v>51</v>
      </c>
      <c r="J1" s="2648" t="str">
        <f>+Summary!H1</f>
        <v>Jun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3</v>
      </c>
      <c r="D2" s="2652"/>
      <c r="E2" s="2649"/>
      <c r="F2" s="2652">
        <f>IF(F3&lt;=$C$2,1,0)</f>
        <v>1</v>
      </c>
      <c r="G2" s="2652">
        <f t="shared" ref="G2:Q2" si="0">IF(G3&lt;=$C$2,1,0)</f>
        <v>1</v>
      </c>
      <c r="H2" s="2652">
        <f t="shared" si="0"/>
        <v>1</v>
      </c>
      <c r="I2" s="2652">
        <f t="shared" si="0"/>
        <v>0</v>
      </c>
      <c r="J2" s="2652">
        <f t="shared" si="0"/>
        <v>0</v>
      </c>
      <c r="K2" s="2652">
        <f t="shared" si="0"/>
        <v>0</v>
      </c>
      <c r="L2" s="2652">
        <f t="shared" si="0"/>
        <v>0</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5"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4375" defaultRowHeight="15.5"/>
  <cols>
    <col min="1" max="1" width="3.15234375" style="1680" customWidth="1"/>
    <col min="2" max="2" width="99.8437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4" t="str">
        <f>+Summary!H1</f>
        <v>Jun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3</v>
      </c>
      <c r="D5" s="324">
        <f>VLOOKUP(Summary!H1,Summary!V1:W12,2,FALSE)</f>
        <v>3</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0</v>
      </c>
      <c r="G6" s="107">
        <f t="shared" si="1"/>
        <v>0</v>
      </c>
      <c r="H6" s="107">
        <f t="shared" si="1"/>
        <v>0</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903.74999999999989</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903.74999999999989</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-903.74999999999989</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691.5</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691.5</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-691.5</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-691.5</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1595.25</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1595.25</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-1595.25</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-1595.25</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545.17999999999995</v>
      </c>
      <c r="H212" s="1109">
        <f>'B - Monthly Positions'!I77+'B - Monthly Positions'!I82</f>
        <v>545.17999999999995</v>
      </c>
      <c r="I212" s="1109">
        <f>'B - Monthly Positions'!J77+'B - Monthly Positions'!J82</f>
        <v>545.17999999999995</v>
      </c>
      <c r="J212" s="1109">
        <f>'B - Monthly Positions'!K77+'B - Monthly Positions'!K82</f>
        <v>545.17999999999995</v>
      </c>
      <c r="K212" s="1109">
        <f>'B - Monthly Positions'!L77+'B - Monthly Positions'!L82</f>
        <v>545.17999999999995</v>
      </c>
      <c r="L212" s="1109">
        <f>'B - Monthly Positions'!M77+'B - Monthly Positions'!M82</f>
        <v>545.17999999999995</v>
      </c>
      <c r="M212" s="1109">
        <f>'B - Monthly Positions'!N77+'B - Monthly Positions'!N82</f>
        <v>545.17999999999995</v>
      </c>
      <c r="N212" s="1109">
        <f>'B - Monthly Positions'!O77+'B - Monthly Positions'!O82</f>
        <v>545.17999999999995</v>
      </c>
      <c r="O212" s="1109">
        <f>SUMPRODUCT($C$6:$N$6,C212:N212)</f>
        <v>1635.2909999999997</v>
      </c>
      <c r="P212" s="1100">
        <f>SUM(C212:N212)</f>
        <v>6541.9110000000001</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20381.417830428414</v>
      </c>
      <c r="G226" s="1282">
        <f>SUM('B - Monthly Positions'!H12:H16)-G227</f>
        <v>19277.701163761751</v>
      </c>
      <c r="H226" s="1282">
        <f>SUM('B - Monthly Positions'!I12:I16)-H227</f>
        <v>19678.438678371585</v>
      </c>
      <c r="I226" s="1282">
        <f>SUM('B - Monthly Positions'!J12:J16)-I227</f>
        <v>20228.883655619673</v>
      </c>
      <c r="J226" s="1282">
        <f>SUM('B - Monthly Positions'!K12:K16)-J227</f>
        <v>19881.126189846997</v>
      </c>
      <c r="K226" s="1282">
        <f>SUM('B - Monthly Positions'!L12:L16)-K227</f>
        <v>20180.308655619672</v>
      </c>
      <c r="L226" s="1282">
        <f>SUM('B - Monthly Positions'!M12:M16)-L227</f>
        <v>19975.883655619673</v>
      </c>
      <c r="M226" s="1282">
        <f>SUM('B - Monthly Positions'!N12:N16)-M227</f>
        <v>19935.31300407432</v>
      </c>
      <c r="N226" s="1282">
        <f>SUM('B - Monthly Positions'!O12:O16)-N227</f>
        <v>20965.389700619671</v>
      </c>
      <c r="O226" s="1231">
        <f t="shared" si="99"/>
        <v>55697</v>
      </c>
      <c r="P226" s="1100">
        <f t="shared" si="100"/>
        <v>236201.46253396178</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35" sqref="B35"/>
    </sheetView>
  </sheetViews>
  <sheetFormatPr defaultRowHeight="15.5"/>
  <cols>
    <col min="1" max="1" width="89.152343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JUN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JUN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4375" defaultRowHeight="15.5"/>
  <cols>
    <col min="1" max="1" width="6.84375" style="1467" customWidth="1"/>
    <col min="2" max="2" width="59.15234375" style="1467" customWidth="1"/>
    <col min="3" max="8" width="10.84375" style="1467" customWidth="1"/>
    <col min="9" max="21" width="8.84375" style="1467"/>
    <col min="22" max="22" width="10.15234375" style="1467" customWidth="1"/>
    <col min="23" max="25" width="8.84375" style="1467"/>
    <col min="26" max="26" width="8.84375" style="2589"/>
    <col min="27" max="27" width="9.53515625" style="1467" customWidth="1"/>
    <col min="28" max="16384" width="8.84375" style="1467"/>
  </cols>
  <sheetData>
    <row r="1" spans="1:29" ht="30">
      <c r="A1" s="2567" t="s">
        <v>373</v>
      </c>
      <c r="B1" s="2568"/>
      <c r="C1" s="2569"/>
      <c r="D1" s="2570"/>
      <c r="E1" s="2570"/>
      <c r="F1" s="2570"/>
      <c r="G1" s="2571" t="s">
        <v>51</v>
      </c>
      <c r="H1" s="2572" t="s">
        <v>1213</v>
      </c>
      <c r="I1" s="2570"/>
      <c r="J1" s="2570"/>
      <c r="K1" s="2573">
        <f>VLOOKUP(Summary!$H$1,Summary!$V$1:$W$12,2,0)</f>
        <v>3</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63</v>
      </c>
      <c r="D11" s="1154">
        <f>'A - Movement'!C50</f>
        <v>-1.5329998404922662E-4</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5"/>
  <cols>
    <col min="1" max="1" width="4.15234375" customWidth="1"/>
    <col min="2" max="2" width="97.53515625" customWidth="1"/>
    <col min="3" max="3" width="11.84375" customWidth="1"/>
    <col min="4" max="4" width="10.15234375" customWidth="1"/>
    <col min="5" max="5" width="11.07421875" customWidth="1"/>
    <col min="6" max="6" width="10.84375" customWidth="1"/>
    <col min="7" max="8" width="3.07421875" customWidth="1"/>
    <col min="9" max="9" width="3.84375" customWidth="1"/>
    <col min="21" max="21" width="9.07421875" customWidth="1"/>
    <col min="25" max="27" width="8.84375" customWidth="1"/>
  </cols>
  <sheetData>
    <row r="1" spans="1:66" ht="18">
      <c r="A1" s="127" t="str">
        <f>+Summary!A1</f>
        <v>Public Health Wales Trust</v>
      </c>
      <c r="B1" s="150"/>
      <c r="C1" s="150"/>
      <c r="D1" s="150"/>
      <c r="E1" s="150" t="s">
        <v>51</v>
      </c>
      <c r="F1" s="954" t="str">
        <f>+Summary!H1</f>
        <v>Jun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-8404</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-3602.1674421769803</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6808.7500000000009</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3602.1672521769801</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1595.25</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-1.8999999929292244E-4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-1431.379117014254</v>
      </c>
      <c r="D32" s="1130">
        <f t="shared" si="16"/>
        <v>-1431.379117014254</v>
      </c>
      <c r="E32" s="953"/>
      <c r="F32" s="953"/>
      <c r="G32" s="111">
        <f t="shared" si="17"/>
        <v>0</v>
      </c>
      <c r="H32" s="111">
        <f t="shared" si="18"/>
        <v>0</v>
      </c>
      <c r="I32" s="949">
        <f t="shared" si="14"/>
        <v>22</v>
      </c>
      <c r="J32" s="1130">
        <f>'B3 - COVID-19'!C155</f>
        <v>2.3000000010142685E-4</v>
      </c>
      <c r="K32" s="1130">
        <f>'B3 - COVID-19'!D155</f>
        <v>-128.49630925089446</v>
      </c>
      <c r="L32" s="1130">
        <f>'B3 - COVID-19'!E155</f>
        <v>-608.51301292608559</v>
      </c>
      <c r="M32" s="1130">
        <f>'B3 - COVID-19'!F155</f>
        <v>23.673596177520722</v>
      </c>
      <c r="N32" s="1130">
        <f>'B3 - COVID-19'!G155</f>
        <v>-12.543070489145975</v>
      </c>
      <c r="O32" s="1130">
        <f>'B3 - COVID-19'!H155</f>
        <v>-217.34867288783425</v>
      </c>
      <c r="P32" s="1130">
        <f>'B3 - COVID-19'!I155</f>
        <v>23.13570863385462</v>
      </c>
      <c r="Q32" s="1130">
        <f>'B3 - COVID-19'!J155</f>
        <v>4.1578140053923107</v>
      </c>
      <c r="R32" s="1130">
        <f>'B3 - COVID-19'!K155</f>
        <v>-276.99668303281192</v>
      </c>
      <c r="S32" s="1130">
        <f>'B3 - COVID-19'!L155</f>
        <v>4.1357086338546196</v>
      </c>
      <c r="T32" s="1130">
        <f>'B3 - COVID-19'!M155</f>
        <v>-3.4099506230702445</v>
      </c>
      <c r="U32" s="1130">
        <f>'B3 - COVID-19'!N155</f>
        <v>-239.17447525503394</v>
      </c>
      <c r="V32" s="1130">
        <f>SUMPRODUCT('B - Monthly Positions'!$D$7:$O$7,J32:U32)</f>
        <v>-737.00909217697995</v>
      </c>
      <c r="W32" s="1130">
        <f t="shared" si="13"/>
        <v>-1431.379117014254</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1431.3791537142542</v>
      </c>
      <c r="D34" s="1130">
        <f t="shared" si="16"/>
        <v>1431.3791537142542</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-23.673596177520722</v>
      </c>
      <c r="N34" s="1130">
        <f>'B3 - COVID-19'!G149</f>
        <v>12.543070489145975</v>
      </c>
      <c r="O34" s="1130">
        <f>'B3 - COVID-19'!H149</f>
        <v>217.34867288783425</v>
      </c>
      <c r="P34" s="1130">
        <f>'B3 - COVID-19'!I149</f>
        <v>-23.13570863385462</v>
      </c>
      <c r="Q34" s="1130">
        <f>'B3 - COVID-19'!J149</f>
        <v>-4.1578140053923107</v>
      </c>
      <c r="R34" s="1130">
        <f>'B3 - COVID-19'!K149</f>
        <v>276.99668303281192</v>
      </c>
      <c r="S34" s="1130">
        <f>'B3 - COVID-19'!L149</f>
        <v>-4.1357086338546196</v>
      </c>
      <c r="T34" s="1130">
        <f>'B3 - COVID-19'!M149</f>
        <v>3.4098539730703123</v>
      </c>
      <c r="U34" s="1130">
        <f>'B3 - COVID-19'!N149</f>
        <v>239.17437860503401</v>
      </c>
      <c r="V34" s="1130">
        <f>SUMPRODUCT('B - Monthly Positions'!$D$7:$O$7,J34:U34)</f>
        <v>737.00932217698005</v>
      </c>
      <c r="W34" s="1130">
        <f t="shared" si="13"/>
        <v>1431.3791537142542</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c r="N36" s="953"/>
      <c r="O36" s="953"/>
      <c r="P36" s="953"/>
      <c r="Q36" s="953"/>
      <c r="R36" s="953"/>
      <c r="S36" s="953"/>
      <c r="T36" s="953"/>
      <c r="U36" s="953">
        <v>-63</v>
      </c>
      <c r="V36" s="1130">
        <f>SUMPRODUCT('B - Monthly Positions'!$D$7:$O$7,J36:U36)</f>
        <v>63</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-1.5329998404922662E-4</v>
      </c>
      <c r="D50" s="950">
        <f>SUM(D24:D49)</f>
        <v>-1.5329998404922662E-4</v>
      </c>
      <c r="E50" s="950">
        <f>SUM(E24:E49)</f>
        <v>0</v>
      </c>
      <c r="F50" s="950">
        <f>SUM(F24:F49)</f>
        <v>0</v>
      </c>
      <c r="G50" s="111">
        <f>SUM(G11:G49)</f>
        <v>0</v>
      </c>
      <c r="H50" s="111">
        <f>SUM(H11:H49)</f>
        <v>0</v>
      </c>
      <c r="I50" s="949">
        <f>A50</f>
        <v>40</v>
      </c>
      <c r="J50" s="950">
        <f t="shared" ref="J50:U50" si="29">SUM(J24:J49)</f>
        <v>50.000039999999899</v>
      </c>
      <c r="K50" s="950">
        <f t="shared" si="29"/>
        <v>2.0000000000001421</v>
      </c>
      <c r="L50" s="950">
        <f t="shared" si="29"/>
        <v>11.000000000000114</v>
      </c>
      <c r="M50" s="950">
        <f t="shared" si="29"/>
        <v>3.694822225952521E-13</v>
      </c>
      <c r="N50" s="950">
        <f t="shared" si="29"/>
        <v>3.694822225952521E-13</v>
      </c>
      <c r="O50" s="950">
        <f t="shared" si="29"/>
        <v>-8.5265128291212022E-14</v>
      </c>
      <c r="P50" s="950">
        <f t="shared" si="29"/>
        <v>-8.5265128291212022E-14</v>
      </c>
      <c r="Q50" s="950">
        <f t="shared" si="29"/>
        <v>5.9685589803848416E-13</v>
      </c>
      <c r="R50" s="950">
        <f t="shared" si="29"/>
        <v>1.1368683772161603E-13</v>
      </c>
      <c r="S50" s="950">
        <f t="shared" si="29"/>
        <v>-8.5265128291212022E-14</v>
      </c>
      <c r="T50" s="950">
        <f t="shared" si="29"/>
        <v>-9.6649999790088259E-5</v>
      </c>
      <c r="U50" s="950">
        <f t="shared" si="29"/>
        <v>-63.000096650000245</v>
      </c>
      <c r="V50" s="950">
        <f>SUMPRODUCT('B - Monthly Positions'!$D$7:$O$7,J50:U50)</f>
        <v>63.000040000000155</v>
      </c>
      <c r="W50" s="950">
        <f>SUM(J50:U50)</f>
        <v>-1.5329999868640698E-4</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-1.5329999985169707E-4</v>
      </c>
      <c r="D52" s="71"/>
      <c r="E52" s="71"/>
      <c r="F52" s="71"/>
      <c r="G52" s="111">
        <f>SUM(G14:G51)</f>
        <v>0</v>
      </c>
      <c r="H52" s="111">
        <f>SUM(H14:H51)</f>
        <v>0</v>
      </c>
      <c r="I52" s="949">
        <f>A52</f>
        <v>41</v>
      </c>
      <c r="J52" s="950">
        <f>'B3 - COVID-19'!C158</f>
        <v>4.0000000012696546E-5</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-9.6649999932196806E-5</v>
      </c>
      <c r="U52" s="950">
        <f>'B3 - COVID-19'!N158</f>
        <v>-9.6649999932196806E-5</v>
      </c>
      <c r="V52" s="950">
        <f>'B3 - COVID-19'!O158</f>
        <v>4.0000000012696546E-5</v>
      </c>
      <c r="W52" s="950">
        <f>SUM(J52:U52)</f>
        <v>-1.5329999985169707E-4</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1.5802470443304628E-11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3.694822225952521E-13</v>
      </c>
      <c r="N54" s="950">
        <f t="shared" si="30"/>
        <v>3.694822225952521E-13</v>
      </c>
      <c r="O54" s="950">
        <f t="shared" si="30"/>
        <v>-8.5265128291212022E-14</v>
      </c>
      <c r="P54" s="950">
        <f t="shared" si="30"/>
        <v>-8.5265128291212022E-14</v>
      </c>
      <c r="Q54" s="950">
        <f t="shared" si="30"/>
        <v>5.9685589803848416E-13</v>
      </c>
      <c r="R54" s="950">
        <f t="shared" si="30"/>
        <v>1.1368683772161603E-13</v>
      </c>
      <c r="S54" s="950">
        <f t="shared" si="30"/>
        <v>-8.5265128291212022E-14</v>
      </c>
      <c r="T54" s="950">
        <f t="shared" si="30"/>
        <v>1.4210854715202004E-13</v>
      </c>
      <c r="U54" s="950">
        <f t="shared" si="30"/>
        <v>-63.000000000000313</v>
      </c>
      <c r="V54" s="950">
        <f t="shared" si="30"/>
        <v>63.000000000000142</v>
      </c>
      <c r="W54" s="950">
        <f>SUM(J54:U54)</f>
        <v>1.1652900866465643E-12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4375" defaultRowHeight="14.5"/>
  <cols>
    <col min="1" max="1" width="3.84375" style="1417" customWidth="1"/>
    <col min="2" max="2" width="72.15234375" style="1417" customWidth="1"/>
    <col min="3" max="3" width="9.07421875" style="1417" customWidth="1"/>
    <col min="4" max="5" width="9.4609375" style="1417" customWidth="1"/>
    <col min="6" max="6" width="8.84375" style="1417"/>
    <col min="7" max="7" width="11.15234375" style="1417" customWidth="1"/>
    <col min="8" max="8" width="8.84375" style="1417" customWidth="1"/>
    <col min="9" max="15" width="8.84375" style="1417"/>
    <col min="16" max="16" width="93.15234375" style="1417" bestFit="1" customWidth="1"/>
    <col min="17" max="17" width="67.84375" style="1417" customWidth="1"/>
    <col min="18" max="16384" width="8.84375" style="1417"/>
  </cols>
  <sheetData>
    <row r="1" spans="1:18" ht="18">
      <c r="A1" s="127" t="str">
        <f>+Summary!A1</f>
        <v>Public Health Wales Trust</v>
      </c>
      <c r="B1" s="150"/>
      <c r="C1" s="1377"/>
      <c r="D1" s="1377"/>
      <c r="E1" s="1378"/>
      <c r="F1" s="1378"/>
      <c r="G1" s="1377" t="s">
        <v>51</v>
      </c>
      <c r="H1" s="1416" t="str">
        <f>+Summary!H1</f>
        <v>Jun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zoomScale="80" zoomScaleNormal="80" workbookViewId="0">
      <selection activeCell="B23" sqref="B23"/>
    </sheetView>
  </sheetViews>
  <sheetFormatPr defaultColWidth="8.84375" defaultRowHeight="15.5"/>
  <cols>
    <col min="1" max="1" width="3.07421875" customWidth="1"/>
    <col min="2" max="2" width="70.07421875" customWidth="1"/>
    <col min="3" max="3" width="13.84375" customWidth="1"/>
    <col min="4" max="4" width="10.15234375" bestFit="1" customWidth="1"/>
    <col min="5" max="6" width="8.84375" style="759"/>
    <col min="7" max="7" width="51.4609375" style="759" customWidth="1"/>
    <col min="8" max="8" width="65.84375" style="759" bestFit="1" customWidth="1"/>
    <col min="9" max="9" width="25.84375" customWidth="1"/>
  </cols>
  <sheetData>
    <row r="1" spans="1:26" ht="30">
      <c r="A1" s="79" t="str">
        <f>+Summary!A1</f>
        <v>Public Health Wales Trust</v>
      </c>
      <c r="B1" s="71"/>
      <c r="C1" s="70" t="s">
        <v>80</v>
      </c>
      <c r="D1" s="151" t="str">
        <f>+Summary!H1</f>
        <v>Jun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t="s">
        <v>1446</v>
      </c>
      <c r="C21" s="1199">
        <v>-979</v>
      </c>
      <c r="D21" s="1724" t="s">
        <v>101</v>
      </c>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t="s">
        <v>1485</v>
      </c>
      <c r="C22" s="1199">
        <v>-500</v>
      </c>
      <c r="D22" s="1724" t="s">
        <v>101</v>
      </c>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-1479</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c r="C36" s="1562"/>
      <c r="D36" s="1727"/>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0</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-1.5329998404922662E-4</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-1.5329998404922662E-4</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5" customHeight="1" thickBot="1">
      <c r="A49" s="119">
        <f>A47+1</f>
        <v>37</v>
      </c>
      <c r="B49" s="1737" t="s">
        <v>875</v>
      </c>
      <c r="C49" s="117">
        <f>IF(C10+C34+C43&gt;0,C45,C45+C10+C34+C43)</f>
        <v>-1479.000153299984</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5" customHeight="1" thickBot="1">
      <c r="A51" s="119">
        <f>A49+1</f>
        <v>38</v>
      </c>
      <c r="B51" s="1737" t="s">
        <v>876</v>
      </c>
      <c r="C51" s="117">
        <f>C45+C10+C43</f>
        <v>-1.5329998404922662E-4</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90" zoomScaleNormal="90" workbookViewId="0">
      <pane xSplit="3" ySplit="10" topLeftCell="F11" activePane="bottomRight" state="frozen"/>
      <selection pane="topRight" activeCell="D1" sqref="D1"/>
      <selection pane="bottomLeft" activeCell="A11" sqref="A11"/>
      <selection pane="bottomRight" activeCell="O16" sqref="O16"/>
    </sheetView>
  </sheetViews>
  <sheetFormatPr defaultColWidth="8.84375" defaultRowHeight="12.5"/>
  <cols>
    <col min="1" max="1" width="5" style="9" customWidth="1"/>
    <col min="2" max="2" width="62.4609375" style="9" customWidth="1"/>
    <col min="3" max="3" width="20.84375" style="9" customWidth="1"/>
    <col min="4" max="15" width="11.84375" style="9" customWidth="1"/>
    <col min="16" max="16" width="8.84375" style="9"/>
    <col min="17" max="17" width="12.15234375" style="9" customWidth="1"/>
    <col min="18" max="18" width="9.84375" style="9" customWidth="1"/>
    <col min="19" max="22" width="8.84375" style="9"/>
    <col min="23" max="23" width="150.07421875" style="9" customWidth="1"/>
    <col min="24" max="24" width="40.84375" style="9" customWidth="1"/>
    <col min="25" max="25" width="8.84375" style="750"/>
    <col min="26" max="29" width="8.84375" style="9"/>
    <col min="30" max="30" width="9.15234375" style="9" customWidth="1"/>
    <col min="31" max="31" width="17.84375" style="9" customWidth="1"/>
    <col min="32" max="16384" width="8.843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Jun 23</v>
      </c>
      <c r="AC1" s="1123">
        <f>IF(AA1=AB1,1,0)</f>
        <v>1</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Jun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Jun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Jun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Jun 23</v>
      </c>
      <c r="AC4" s="1123">
        <f t="shared" si="0"/>
        <v>0</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3</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Jun 23</v>
      </c>
      <c r="AC5" s="1123">
        <f t="shared" si="0"/>
        <v>0</v>
      </c>
      <c r="AD5" s="80"/>
      <c r="AE5" s="80"/>
      <c r="AF5" s="80"/>
      <c r="AG5" s="271" t="str">
        <f>Summary!V5</f>
        <v>Aug 23</v>
      </c>
      <c r="AH5" s="111">
        <f>SUM($D$37:$G$37)</f>
        <v>63</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Jun 23</v>
      </c>
      <c r="AC6" s="1123">
        <f t="shared" si="0"/>
        <v>0</v>
      </c>
      <c r="AD6" s="82"/>
      <c r="AE6" s="82"/>
      <c r="AF6" s="82"/>
      <c r="AG6" s="271" t="str">
        <f>Summary!V6</f>
        <v>Sep 23</v>
      </c>
      <c r="AH6" s="111">
        <f>SUM($D$37:$H$37)</f>
        <v>63.000000000003638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0</v>
      </c>
      <c r="H7" s="107">
        <f t="shared" si="2"/>
        <v>0</v>
      </c>
      <c r="I7" s="107">
        <f t="shared" si="2"/>
        <v>0</v>
      </c>
      <c r="J7" s="107">
        <f t="shared" si="2"/>
        <v>0</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Jun 23</v>
      </c>
      <c r="AC7" s="1123">
        <f t="shared" si="0"/>
        <v>0</v>
      </c>
      <c r="AD7" s="82"/>
      <c r="AE7" s="82"/>
      <c r="AF7" s="82"/>
      <c r="AG7" s="271" t="str">
        <f>Summary!V7</f>
        <v>Oct 23</v>
      </c>
      <c r="AH7" s="111">
        <f>SUM($D$37:$I$37)</f>
        <v>63.000000000003638</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Jun 23</v>
      </c>
      <c r="AC8" s="1123">
        <f t="shared" si="0"/>
        <v>0</v>
      </c>
      <c r="AD8" s="84"/>
      <c r="AE8" s="84"/>
      <c r="AF8" s="84"/>
      <c r="AG8" s="271" t="str">
        <f>Summary!V8</f>
        <v>Nov 23</v>
      </c>
      <c r="AH8" s="111">
        <f>SUM($D$37:$J$37)</f>
        <v>63.000000000007276</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Jun 23</v>
      </c>
      <c r="AC9" s="1123">
        <f t="shared" si="0"/>
        <v>0</v>
      </c>
      <c r="AD9" s="298"/>
      <c r="AE9" s="298"/>
      <c r="AF9" s="298"/>
      <c r="AG9" s="271" t="str">
        <f>Summary!V9</f>
        <v>Dec 23</v>
      </c>
      <c r="AH9" s="111">
        <f>SUM($D$37:$K$37)</f>
        <v>63.000000000007276</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Jun 23</v>
      </c>
      <c r="AC10" s="1123">
        <f>SUM(AC1:AC9)</f>
        <v>1</v>
      </c>
      <c r="AD10" s="298"/>
      <c r="AE10" s="298"/>
      <c r="AF10" s="298"/>
      <c r="AG10" s="271" t="str">
        <f>Summary!V10</f>
        <v>Jan 24</v>
      </c>
      <c r="AH10" s="111">
        <f>SUM($D$37:$L$37)</f>
        <v>63.000000000007276</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63.000000000010914</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62.999903350013483</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v>1934</v>
      </c>
      <c r="H13" s="891">
        <v>1934</v>
      </c>
      <c r="I13" s="891">
        <v>1934</v>
      </c>
      <c r="J13" s="891">
        <v>1927</v>
      </c>
      <c r="K13" s="891">
        <v>1927</v>
      </c>
      <c r="L13" s="891">
        <v>1927</v>
      </c>
      <c r="M13" s="891">
        <v>1927</v>
      </c>
      <c r="N13" s="891">
        <v>1927</v>
      </c>
      <c r="O13" s="1065">
        <v>1928</v>
      </c>
      <c r="P13" s="74">
        <f>SUMPRODUCT($D$7:$O$7,D13:O13)</f>
        <v>6049</v>
      </c>
      <c r="Q13" s="1066">
        <f>P13+SUMPRODUCT(1-$D$7:$O$7,D13:O13)</f>
        <v>23414</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v>0</v>
      </c>
      <c r="H14" s="891">
        <v>0</v>
      </c>
      <c r="I14" s="891">
        <v>0</v>
      </c>
      <c r="J14" s="891">
        <v>0</v>
      </c>
      <c r="K14" s="891">
        <v>0</v>
      </c>
      <c r="L14" s="891">
        <v>0</v>
      </c>
      <c r="M14" s="891">
        <v>0</v>
      </c>
      <c r="N14" s="891">
        <v>0</v>
      </c>
      <c r="O14" s="891">
        <v>0</v>
      </c>
      <c r="P14" s="74">
        <f>SUMPRODUCT($D$7:$O$7,D14:O14)</f>
        <v>50</v>
      </c>
      <c r="Q14" s="1066">
        <f>P14+SUMPRODUCT(1-$D$7:$O$7,D14:O14)</f>
        <v>50</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19877+833.332+'B3 - COVID-19'!F154-3816</f>
        <v>18062.749830428413</v>
      </c>
      <c r="H15" s="891">
        <f>14973+833.332+'B3 - COVID-19'!G154+31</f>
        <v>16960.033163761749</v>
      </c>
      <c r="I15" s="891">
        <f>14979+833.332+'B3 - COVID-19'!H154+114</f>
        <v>17360.770678371584</v>
      </c>
      <c r="J15" s="891">
        <f>14967+833.332+'B3 - COVID-19'!I154+656</f>
        <v>17918.215655619671</v>
      </c>
      <c r="K15" s="891">
        <f>14967+833.332+'B3 - COVID-19'!J154+382</f>
        <v>17570.458189846995</v>
      </c>
      <c r="L15" s="891">
        <f>14967+833.332+'B3 - COVID-19'!K154+438</f>
        <v>17869.640655619671</v>
      </c>
      <c r="M15" s="891">
        <f>14967+833.332+'B3 - COVID-19'!L154+446</f>
        <v>17667.215655619671</v>
      </c>
      <c r="N15" s="891">
        <f>14962+833.332+'B3 - COVID-19'!M154+472</f>
        <v>17628.645004074318</v>
      </c>
      <c r="O15" s="1065">
        <f>14963+833.346+'B3 - COVID-19'!N154+1217</f>
        <v>18657.735700619673</v>
      </c>
      <c r="P15" s="74">
        <f>SUMPRODUCT($D$7:$O$7,D15:O15)</f>
        <v>47965</v>
      </c>
      <c r="Q15" s="1066">
        <f>P15+SUMPRODUCT(1-$D$7:$O$7,D15:O15)</f>
        <v>207660.46453396173</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1218-833.332</f>
        <v>384.66800000000001</v>
      </c>
      <c r="H16" s="891">
        <f>1217-833.332</f>
        <v>383.66800000000001</v>
      </c>
      <c r="I16" s="891">
        <f>1217-833.332</f>
        <v>383.66800000000001</v>
      </c>
      <c r="J16" s="891">
        <f>1217-833.332</f>
        <v>383.66800000000001</v>
      </c>
      <c r="K16" s="891">
        <f>1217-833.332</f>
        <v>383.66800000000001</v>
      </c>
      <c r="L16" s="891">
        <f>1217-833.332</f>
        <v>383.66800000000001</v>
      </c>
      <c r="M16" s="891">
        <f>1215-833.332</f>
        <v>381.66800000000001</v>
      </c>
      <c r="N16" s="891">
        <f>1213-833.332</f>
        <v>379.66800000000001</v>
      </c>
      <c r="O16" s="1065">
        <f>1213-833.346</f>
        <v>379.654</v>
      </c>
      <c r="P16" s="1072">
        <f t="shared" si="3"/>
        <v>1633</v>
      </c>
      <c r="Q16" s="1066">
        <f t="shared" si="4"/>
        <v>5076.9980000000005</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20381.417830428414</v>
      </c>
      <c r="H17" s="1109">
        <f t="shared" si="6"/>
        <v>19277.701163761751</v>
      </c>
      <c r="I17" s="1109">
        <f t="shared" si="6"/>
        <v>19678.438678371585</v>
      </c>
      <c r="J17" s="1109">
        <f t="shared" si="6"/>
        <v>20228.883655619673</v>
      </c>
      <c r="K17" s="1109">
        <f t="shared" si="6"/>
        <v>19881.126189846997</v>
      </c>
      <c r="L17" s="1109">
        <f t="shared" si="6"/>
        <v>20180.308655619672</v>
      </c>
      <c r="M17" s="1109">
        <f t="shared" si="6"/>
        <v>19975.883655619673</v>
      </c>
      <c r="N17" s="1109">
        <f t="shared" si="6"/>
        <v>19935.31300407432</v>
      </c>
      <c r="O17" s="1109">
        <f t="shared" si="6"/>
        <v>20965.389700619671</v>
      </c>
      <c r="P17" s="1100">
        <f t="shared" si="3"/>
        <v>55697</v>
      </c>
      <c r="Q17" s="1132">
        <f t="shared" si="4"/>
        <v>236201.46253396178</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236201.46253396178</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10741+'B3 - COVID-19'!F19+'B3 - COVID-19'!F62+'B3 - COVID-19'!F109</f>
        <v>10912.38615</v>
      </c>
      <c r="H20" s="891">
        <f>10725+'B3 - COVID-19'!G19+'B3 - COVID-19'!G62+'B3 - COVID-19'!G109</f>
        <v>10924.419483333333</v>
      </c>
      <c r="I20" s="891">
        <f>10734+'B3 - COVID-19'!H19+'B3 - COVID-19'!H62+'B3 - COVID-19'!H109</f>
        <v>10964.259676666667</v>
      </c>
      <c r="J20" s="891">
        <f>10782+'B3 - COVID-19'!I19+'B3 - COVID-19'!I62+'B3 - COVID-19'!I109</f>
        <v>11015.102576666666</v>
      </c>
      <c r="K20" s="891">
        <f>10782+'B3 - COVID-19'!J19+'B3 - COVID-19'!J62+'B3 - COVID-19'!J109</f>
        <v>11015.102576666666</v>
      </c>
      <c r="L20" s="891">
        <f>10782+'B3 - COVID-19'!K19+'B3 - COVID-19'!K62+'B3 - COVID-19'!K109</f>
        <v>11015.102576666666</v>
      </c>
      <c r="M20" s="891">
        <f>10778+'B3 - COVID-19'!L19+'B3 - COVID-19'!L62+'B3 - COVID-19'!L109</f>
        <v>11011.102576666666</v>
      </c>
      <c r="N20" s="891">
        <f>10771+'B3 - COVID-19'!M19+'B3 - COVID-19'!M62+'B3 - COVID-19'!M109</f>
        <v>11001.259676666667</v>
      </c>
      <c r="O20" s="891">
        <f>10905+'B3 - COVID-19'!N19+'B3 - COVID-19'!N62+'B3 - COVID-19'!N109</f>
        <v>11133.399441666666</v>
      </c>
      <c r="P20" s="75">
        <f t="shared" si="3"/>
        <v>34398</v>
      </c>
      <c r="Q20" s="1066">
        <f t="shared" si="4"/>
        <v>133390.134735</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8472-SUM(G32:G35)+('B3 - COVID-19'!F33+'B3 - COVID-19'!F76+'B3 - COVID-19'!F129)</f>
        <v>8923.8516804284154</v>
      </c>
      <c r="H21" s="891">
        <f>7430-SUM(H32:H35)+('B3 - COVID-19'!G33+'B3 - COVID-19'!G76+'B3 - COVID-19'!G129)</f>
        <v>7808.1016804284154</v>
      </c>
      <c r="I21" s="891">
        <f>7510-SUM(I32:I35)+('B3 - COVID-19'!H33+'B3 - COVID-19'!H76+'B3 - COVID-19'!H129)</f>
        <v>8168.9990017049176</v>
      </c>
      <c r="J21" s="891">
        <f>7985-SUM(J32:J35)+('B3 - COVID-19'!I33+'B3 - COVID-19'!I76+'B3 - COVID-19'!I129)</f>
        <v>8668.6010789530046</v>
      </c>
      <c r="K21" s="891">
        <f>7711-SUM(K32:K35)+('B3 - COVID-19'!J33+'B3 - COVID-19'!J76+'B3 - COVID-19'!J129)</f>
        <v>8320.8436131803282</v>
      </c>
      <c r="L21" s="891">
        <f>7767-SUM(L32:L35)+('B3 - COVID-19'!K33+'B3 - COVID-19'!K76+'B3 - COVID-19'!K129)</f>
        <v>8620.0260789530057</v>
      </c>
      <c r="M21" s="891">
        <f>7777-SUM(M32:M35)+('B3 - COVID-19'!L33+'B3 - COVID-19'!L76+'B3 - COVID-19'!L129)</f>
        <v>8419.6010789530046</v>
      </c>
      <c r="N21" s="891">
        <f>7803-SUM(N32:N35)+('B3 - COVID-19'!M33+'B3 - COVID-19'!M76+'B3 - COVID-19'!M129)</f>
        <v>8388.8734240576505</v>
      </c>
      <c r="O21" s="891">
        <f>8479-SUM(O32:O35)+('B3 - COVID-19'!N33+'B3 - COVID-19'!N76+'B3 - COVID-19'!N129)</f>
        <v>9349.8103556030055</v>
      </c>
      <c r="P21" s="75">
        <f t="shared" si="3"/>
        <v>19600.708999999999</v>
      </c>
      <c r="Q21" s="1066">
        <f t="shared" si="4"/>
        <v>96269.416992261758</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133390.134735</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96269.416992261758</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518.58999999999992</v>
      </c>
      <c r="I32" s="891">
        <f t="shared" si="7"/>
        <v>518.58999999999992</v>
      </c>
      <c r="J32" s="891">
        <f t="shared" si="7"/>
        <v>518.58999999999992</v>
      </c>
      <c r="K32" s="891">
        <f t="shared" si="7"/>
        <v>518.58999999999992</v>
      </c>
      <c r="L32" s="891">
        <f t="shared" si="7"/>
        <v>518.58999999999992</v>
      </c>
      <c r="M32" s="891">
        <f t="shared" si="7"/>
        <v>518.58999999999992</v>
      </c>
      <c r="N32" s="891">
        <f t="shared" si="7"/>
        <v>518.58999999999992</v>
      </c>
      <c r="O32" s="891">
        <f t="shared" si="7"/>
        <v>518.58999999999992</v>
      </c>
      <c r="P32" s="75">
        <f t="shared" si="3"/>
        <v>1555.5709999999999</v>
      </c>
      <c r="Q32" s="1066">
        <f t="shared" si="4"/>
        <v>6222.8810000000003</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26.590000000000003</v>
      </c>
      <c r="I33" s="891">
        <f t="shared" si="8"/>
        <v>26.590000000000003</v>
      </c>
      <c r="J33" s="891">
        <f t="shared" si="8"/>
        <v>26.590000000000003</v>
      </c>
      <c r="K33" s="891">
        <f t="shared" si="8"/>
        <v>26.590000000000003</v>
      </c>
      <c r="L33" s="891">
        <f t="shared" si="8"/>
        <v>26.590000000000003</v>
      </c>
      <c r="M33" s="891">
        <f t="shared" si="8"/>
        <v>26.590000000000003</v>
      </c>
      <c r="N33" s="891">
        <f t="shared" si="8"/>
        <v>26.590000000000003</v>
      </c>
      <c r="O33" s="891">
        <f t="shared" si="8"/>
        <v>26.590000000000003</v>
      </c>
      <c r="P33" s="75">
        <f t="shared" si="3"/>
        <v>79.72</v>
      </c>
      <c r="Q33" s="1066">
        <f t="shared" si="4"/>
        <v>319.03000000000003</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20381.417830428414</v>
      </c>
      <c r="H36" s="1109">
        <f t="shared" si="9"/>
        <v>19277.701163761747</v>
      </c>
      <c r="I36" s="1109">
        <f t="shared" si="9"/>
        <v>19678.438678371585</v>
      </c>
      <c r="J36" s="1109">
        <f t="shared" si="9"/>
        <v>20228.883655619669</v>
      </c>
      <c r="K36" s="1109">
        <f t="shared" si="9"/>
        <v>19881.126189846997</v>
      </c>
      <c r="L36" s="1109">
        <f t="shared" si="9"/>
        <v>20180.308655619672</v>
      </c>
      <c r="M36" s="1109">
        <f t="shared" si="9"/>
        <v>19975.883655619669</v>
      </c>
      <c r="N36" s="1109">
        <f t="shared" si="9"/>
        <v>19935.313100724317</v>
      </c>
      <c r="O36" s="1109">
        <f t="shared" si="9"/>
        <v>21028.389797269672</v>
      </c>
      <c r="P36" s="1100">
        <f t="shared" si="3"/>
        <v>55634</v>
      </c>
      <c r="Q36" s="1132">
        <f t="shared" si="4"/>
        <v>236201.46272726171</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0</v>
      </c>
      <c r="H37" s="1109">
        <f t="shared" si="10"/>
        <v>3.637978807091713E-12</v>
      </c>
      <c r="I37" s="1109">
        <f t="shared" si="10"/>
        <v>0</v>
      </c>
      <c r="J37" s="1109">
        <f t="shared" si="10"/>
        <v>3.637978807091713E-12</v>
      </c>
      <c r="K37" s="1109">
        <f t="shared" si="10"/>
        <v>0</v>
      </c>
      <c r="L37" s="1109">
        <f t="shared" si="10"/>
        <v>0</v>
      </c>
      <c r="M37" s="1109">
        <f t="shared" si="10"/>
        <v>3.637978807091713E-12</v>
      </c>
      <c r="N37" s="1100">
        <f t="shared" si="10"/>
        <v>-9.6649997431086376E-5</v>
      </c>
      <c r="O37" s="1109">
        <f t="shared" si="10"/>
        <v>-63.000096650001069</v>
      </c>
      <c r="P37" s="1109">
        <f t="shared" si="10"/>
        <v>63</v>
      </c>
      <c r="Q37" s="1100">
        <f t="shared" si="10"/>
        <v>-1.9329992937855422E-4</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213832.55172726171</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2379</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10857+2591</f>
        <v>13448</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229659.55172726171</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20381.417830428414</v>
      </c>
      <c r="H57" s="111">
        <f t="shared" si="12"/>
        <v>19277.701163761747</v>
      </c>
      <c r="I57" s="111">
        <f t="shared" si="12"/>
        <v>19678.438678371585</v>
      </c>
      <c r="J57" s="111">
        <f t="shared" si="12"/>
        <v>20228.883655619669</v>
      </c>
      <c r="K57" s="111">
        <f t="shared" si="12"/>
        <v>19881.126189846997</v>
      </c>
      <c r="L57" s="111">
        <f t="shared" si="12"/>
        <v>20180.308655619672</v>
      </c>
      <c r="M57" s="111">
        <f t="shared" si="12"/>
        <v>19975.883655619669</v>
      </c>
      <c r="N57" s="111">
        <f t="shared" si="12"/>
        <v>19935.313100724317</v>
      </c>
      <c r="O57" s="111">
        <f t="shared" si="12"/>
        <v>21028.389797269672</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63</v>
      </c>
      <c r="F60" s="299"/>
      <c r="G60" s="300"/>
      <c r="H60" s="3199" t="str">
        <f>""&amp;(A37+6)&amp;". Extrapolated Scenario"</f>
        <v>33. Extrapolated Scenario</v>
      </c>
      <c r="I60" s="3200"/>
      <c r="J60" s="3200"/>
      <c r="K60" s="303">
        <f>SUM(E60+(E62*(12-C5)))</f>
        <v>162</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52</v>
      </c>
      <c r="F61" s="1086"/>
      <c r="G61" s="293"/>
      <c r="H61" s="3202" t="str">
        <f>""&amp;(A37+7)&amp;". Year to Date Trend Scenario"</f>
        <v>34. Year to Date Trend Scenario</v>
      </c>
      <c r="I61" s="3203"/>
      <c r="J61" s="3203"/>
      <c r="K61" s="1087">
        <f>SUM(P37/C5)*12</f>
        <v>252</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11</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21</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7</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168.17</v>
      </c>
      <c r="I72" s="963">
        <v>168.17</v>
      </c>
      <c r="J72" s="963">
        <v>168.17</v>
      </c>
      <c r="K72" s="963">
        <v>168.17</v>
      </c>
      <c r="L72" s="963">
        <v>168.17</v>
      </c>
      <c r="M72" s="963">
        <v>168.17</v>
      </c>
      <c r="N72" s="963">
        <v>168.17</v>
      </c>
      <c r="O72" s="963">
        <v>168.17</v>
      </c>
      <c r="P72" s="74">
        <f t="shared" ref="P72:P82" si="13">SUMPRODUCT($D$7:$O$7,D72:O72)</f>
        <v>504.32100000000003</v>
      </c>
      <c r="Q72" s="937">
        <f>P72+SUMPRODUCT(1-$D$7:$O$7,D72:O72)</f>
        <v>2017.8510000000001</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226.25</v>
      </c>
      <c r="I73" s="891">
        <v>226.25</v>
      </c>
      <c r="J73" s="891">
        <v>226.25</v>
      </c>
      <c r="K73" s="891">
        <v>226.25</v>
      </c>
      <c r="L73" s="891">
        <v>226.25</v>
      </c>
      <c r="M73" s="891">
        <v>226.25</v>
      </c>
      <c r="N73" s="891">
        <v>226.25</v>
      </c>
      <c r="O73" s="1065">
        <v>226.25</v>
      </c>
      <c r="P73" s="74">
        <f t="shared" si="13"/>
        <v>678.75</v>
      </c>
      <c r="Q73" s="1066">
        <f>P73+SUMPRODUCT(1-$D$7:$O$7,D73:O73)</f>
        <v>2715</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372.5</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518.58999999999992</v>
      </c>
      <c r="I77" s="1137">
        <f t="shared" si="15"/>
        <v>518.58999999999992</v>
      </c>
      <c r="J77" s="1137">
        <f t="shared" si="15"/>
        <v>518.58999999999992</v>
      </c>
      <c r="K77" s="1137">
        <f t="shared" si="15"/>
        <v>518.58999999999992</v>
      </c>
      <c r="L77" s="1137">
        <f t="shared" si="15"/>
        <v>518.58999999999992</v>
      </c>
      <c r="M77" s="1137">
        <f t="shared" si="15"/>
        <v>518.58999999999992</v>
      </c>
      <c r="N77" s="1137">
        <f t="shared" si="15"/>
        <v>518.58999999999992</v>
      </c>
      <c r="O77" s="1137">
        <f t="shared" si="15"/>
        <v>518.58999999999992</v>
      </c>
      <c r="P77" s="1100">
        <f t="shared" si="13"/>
        <v>1555.5709999999999</v>
      </c>
      <c r="Q77" s="1132">
        <f t="shared" si="14"/>
        <v>6222.8810000000003</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10.17</v>
      </c>
      <c r="I79" s="964">
        <v>10.17</v>
      </c>
      <c r="J79" s="964">
        <v>10.17</v>
      </c>
      <c r="K79" s="964">
        <v>10.17</v>
      </c>
      <c r="L79" s="964">
        <v>10.17</v>
      </c>
      <c r="M79" s="964">
        <v>10.17</v>
      </c>
      <c r="N79" s="964">
        <v>10.17</v>
      </c>
      <c r="O79" s="1104">
        <v>10.17</v>
      </c>
      <c r="P79" s="1080">
        <f t="shared" si="13"/>
        <v>30.47</v>
      </c>
      <c r="Q79" s="1066">
        <f t="shared" si="14"/>
        <v>122</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49.25</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26.590000000000003</v>
      </c>
      <c r="I82" s="1137">
        <f t="shared" si="16"/>
        <v>26.590000000000003</v>
      </c>
      <c r="J82" s="1137">
        <f t="shared" si="16"/>
        <v>26.590000000000003</v>
      </c>
      <c r="K82" s="1137">
        <f t="shared" si="16"/>
        <v>26.590000000000003</v>
      </c>
      <c r="L82" s="1137">
        <f t="shared" si="16"/>
        <v>26.590000000000003</v>
      </c>
      <c r="M82" s="1137">
        <f t="shared" si="16"/>
        <v>26.590000000000003</v>
      </c>
      <c r="N82" s="1137">
        <f t="shared" si="16"/>
        <v>26.590000000000003</v>
      </c>
      <c r="O82" s="1137">
        <f t="shared" si="16"/>
        <v>26.590000000000003</v>
      </c>
      <c r="P82" s="1100">
        <f t="shared" si="13"/>
        <v>79.72</v>
      </c>
      <c r="Q82" s="1132">
        <f t="shared" si="14"/>
        <v>319.03000000000003</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v>19</v>
      </c>
      <c r="H96" s="2501">
        <v>19</v>
      </c>
      <c r="I96" s="2501">
        <v>19</v>
      </c>
      <c r="J96" s="2501">
        <v>19</v>
      </c>
      <c r="K96" s="2501">
        <v>20</v>
      </c>
      <c r="L96" s="2501">
        <v>20</v>
      </c>
      <c r="M96" s="2501">
        <v>20</v>
      </c>
      <c r="N96" s="2501">
        <v>20</v>
      </c>
      <c r="O96" s="2501">
        <v>19</v>
      </c>
      <c r="P96" s="1100">
        <f>SUMPRODUCT($D$7:$O$7,D96:O96)</f>
        <v>154</v>
      </c>
      <c r="Q96" s="1132">
        <f>P96+SUMPRODUCT(1-$D$7:$O$7,D96:O96)</f>
        <v>329</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Normal="100" workbookViewId="0">
      <selection activeCell="P19" sqref="P19"/>
    </sheetView>
  </sheetViews>
  <sheetFormatPr defaultColWidth="8.84375" defaultRowHeight="14.5"/>
  <cols>
    <col min="1" max="2" width="8.84375" style="2864"/>
    <col min="3" max="3" width="61.15234375" style="2864" bestFit="1" customWidth="1"/>
    <col min="4" max="15" width="8.15234375" style="2864" customWidth="1"/>
    <col min="16" max="17" width="8.84375" style="2864"/>
    <col min="18" max="18" width="7.07421875" style="2864" customWidth="1"/>
    <col min="19" max="21" width="7.84375" style="2864" customWidth="1"/>
    <col min="22" max="22" width="2.4609375" style="2864" customWidth="1"/>
    <col min="23" max="25" width="7.84375" style="2864" customWidth="1"/>
    <col min="26" max="26" width="2.4609375" style="2864" customWidth="1"/>
    <col min="27" max="27" width="16.07421875" style="2864" customWidth="1"/>
    <col min="28" max="16384" width="8.843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Jun 23</v>
      </c>
      <c r="AE1" s="1123">
        <f>IF(AC1=AD1,1,0)</f>
        <v>1</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Jun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Jun 23</v>
      </c>
      <c r="U3" s="80"/>
      <c r="V3" s="80"/>
      <c r="W3" s="1121"/>
      <c r="X3" s="80"/>
      <c r="Y3" s="80"/>
      <c r="Z3" s="80"/>
      <c r="AA3" s="80"/>
      <c r="AB3" s="111"/>
      <c r="AC3" s="1123" t="str">
        <f>+Summary!$V$5</f>
        <v>Aug 23</v>
      </c>
      <c r="AD3" s="1123" t="str">
        <f>+Summary!$H$1</f>
        <v>Jun 23</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Jun 23</v>
      </c>
      <c r="AE4" s="1123">
        <f t="shared" si="0"/>
        <v>0</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204</v>
      </c>
      <c r="G12" s="2925">
        <f t="shared" si="2"/>
        <v>-61</v>
      </c>
      <c r="H12" s="2926">
        <f t="shared" si="2"/>
        <v>-61</v>
      </c>
      <c r="I12" s="2926">
        <f t="shared" si="2"/>
        <v>-61</v>
      </c>
      <c r="J12" s="2926">
        <f t="shared" si="2"/>
        <v>-60</v>
      </c>
      <c r="K12" s="2926">
        <f t="shared" si="2"/>
        <v>-60</v>
      </c>
      <c r="L12" s="2926">
        <f t="shared" si="2"/>
        <v>-60</v>
      </c>
      <c r="M12" s="2926">
        <f t="shared" si="2"/>
        <v>-60</v>
      </c>
      <c r="N12" s="2926">
        <f t="shared" si="2"/>
        <v>-60</v>
      </c>
      <c r="O12" s="2927">
        <f t="shared" si="2"/>
        <v>-59</v>
      </c>
      <c r="P12" s="2937">
        <f t="shared" si="2"/>
        <v>-338</v>
      </c>
      <c r="Q12" s="2559"/>
      <c r="R12" s="2559"/>
      <c r="S12" s="2967">
        <f t="shared" si="3"/>
        <v>271</v>
      </c>
      <c r="T12" s="2995">
        <f>INDEX($D12:$O12,1,MATCH(LEFT($T$3,3),$D$6:$O$6,0))</f>
        <v>204</v>
      </c>
      <c r="U12" s="2996">
        <f t="shared" si="5"/>
        <v>-338</v>
      </c>
      <c r="V12" s="2887"/>
      <c r="W12" s="2984">
        <f t="shared" si="6"/>
        <v>0.14056016597510373</v>
      </c>
      <c r="X12" s="2985">
        <f t="shared" si="7"/>
        <v>0.10225563909774436</v>
      </c>
      <c r="Y12" s="2986">
        <f t="shared" ref="Y12" si="9">IF($Q43=0,0,U12/$Q43)</f>
        <v>-1.8875300161947842E-2</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16</v>
      </c>
      <c r="G13" s="2925">
        <f t="shared" si="2"/>
        <v>0</v>
      </c>
      <c r="H13" s="2926">
        <f t="shared" si="2"/>
        <v>0</v>
      </c>
      <c r="I13" s="2926">
        <f t="shared" si="2"/>
        <v>0</v>
      </c>
      <c r="J13" s="2926">
        <f t="shared" si="2"/>
        <v>0</v>
      </c>
      <c r="K13" s="2926">
        <f t="shared" si="2"/>
        <v>0</v>
      </c>
      <c r="L13" s="2926">
        <f t="shared" si="2"/>
        <v>0</v>
      </c>
      <c r="M13" s="2926">
        <f t="shared" si="2"/>
        <v>0</v>
      </c>
      <c r="N13" s="2926">
        <f t="shared" si="2"/>
        <v>0</v>
      </c>
      <c r="O13" s="2927">
        <f t="shared" si="2"/>
        <v>0</v>
      </c>
      <c r="P13" s="2937">
        <f t="shared" si="2"/>
        <v>16</v>
      </c>
      <c r="Q13" s="2559"/>
      <c r="R13" s="2559"/>
      <c r="S13" s="2967">
        <f t="shared" si="3"/>
        <v>-2</v>
      </c>
      <c r="T13" s="2995">
        <f t="shared" si="4"/>
        <v>16</v>
      </c>
      <c r="U13" s="2996">
        <f t="shared" si="5"/>
        <v>16</v>
      </c>
      <c r="V13" s="2887"/>
      <c r="W13" s="2984">
        <f t="shared" si="6"/>
        <v>-0.1111111111111111</v>
      </c>
      <c r="X13" s="2985">
        <f t="shared" si="7"/>
        <v>0</v>
      </c>
      <c r="Y13" s="2986">
        <f t="shared" ref="Y13" si="10">IF($Q44=0,0,U13/$Q44)</f>
        <v>0</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-318</v>
      </c>
      <c r="G14" s="2925">
        <f t="shared" si="2"/>
        <v>2129.7498304284127</v>
      </c>
      <c r="H14" s="2926">
        <f t="shared" si="2"/>
        <v>1067.0331637617492</v>
      </c>
      <c r="I14" s="2926">
        <f t="shared" si="2"/>
        <v>883.77067837158393</v>
      </c>
      <c r="J14" s="2926">
        <f t="shared" si="2"/>
        <v>1307.2156556196715</v>
      </c>
      <c r="K14" s="2926">
        <f t="shared" si="2"/>
        <v>1152.4581898469951</v>
      </c>
      <c r="L14" s="2926">
        <f t="shared" si="2"/>
        <v>950.64065561967072</v>
      </c>
      <c r="M14" s="2926">
        <f t="shared" si="2"/>
        <v>1213.2156556196715</v>
      </c>
      <c r="N14" s="2926">
        <f t="shared" si="2"/>
        <v>1212.6450040743184</v>
      </c>
      <c r="O14" s="2927">
        <f t="shared" si="2"/>
        <v>1094.7357006196726</v>
      </c>
      <c r="P14" s="2937">
        <f t="shared" si="2"/>
        <v>10693.464533961756</v>
      </c>
      <c r="Q14" s="2559"/>
      <c r="R14" s="2559"/>
      <c r="S14" s="2967">
        <f t="shared" si="3"/>
        <v>59</v>
      </c>
      <c r="T14" s="2995">
        <f t="shared" si="4"/>
        <v>-318</v>
      </c>
      <c r="U14" s="2996">
        <f t="shared" si="5"/>
        <v>10693.464533961756</v>
      </c>
      <c r="V14" s="2887"/>
      <c r="W14" s="2984">
        <f t="shared" si="6"/>
        <v>3.6728087649402393E-3</v>
      </c>
      <c r="X14" s="2985">
        <f t="shared" si="7"/>
        <v>-1.9341889179490299E-2</v>
      </c>
      <c r="Y14" s="2986">
        <f t="shared" ref="Y14" si="11">IF($Q45=0,0,U14/$Q45)</f>
        <v>7.1920748257793418E-2</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278</v>
      </c>
      <c r="G15" s="2929">
        <f t="shared" si="2"/>
        <v>17.668000000000006</v>
      </c>
      <c r="H15" s="2930">
        <f t="shared" si="2"/>
        <v>17.668000000000006</v>
      </c>
      <c r="I15" s="2930">
        <f t="shared" si="2"/>
        <v>17.668000000000006</v>
      </c>
      <c r="J15" s="2930">
        <f t="shared" si="2"/>
        <v>17.668000000000006</v>
      </c>
      <c r="K15" s="2930">
        <f t="shared" si="2"/>
        <v>17.668000000000006</v>
      </c>
      <c r="L15" s="2930">
        <f t="shared" si="2"/>
        <v>17.668000000000006</v>
      </c>
      <c r="M15" s="2930">
        <f t="shared" si="2"/>
        <v>17.668000000000006</v>
      </c>
      <c r="N15" s="2930">
        <f t="shared" si="2"/>
        <v>18.668000000000006</v>
      </c>
      <c r="O15" s="2931">
        <f t="shared" si="2"/>
        <v>17.653999999999996</v>
      </c>
      <c r="P15" s="2938">
        <f t="shared" si="2"/>
        <v>437.99799999999959</v>
      </c>
      <c r="Q15" s="2559"/>
      <c r="R15" s="2559"/>
      <c r="S15" s="2968">
        <f t="shared" si="3"/>
        <v>138</v>
      </c>
      <c r="T15" s="2997">
        <f t="shared" si="4"/>
        <v>278</v>
      </c>
      <c r="U15" s="2998">
        <f t="shared" si="5"/>
        <v>437.99799999999959</v>
      </c>
      <c r="V15" s="2887"/>
      <c r="W15" s="2987">
        <f t="shared" si="6"/>
        <v>0.27218934911242604</v>
      </c>
      <c r="X15" s="2988">
        <f t="shared" si="7"/>
        <v>0.75749318801089915</v>
      </c>
      <c r="Y15" s="2989">
        <f t="shared" ref="Y15" si="12">IF($Q46=0,0,U15/$Q46)</f>
        <v>0.13337332521315456</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180</v>
      </c>
      <c r="G16" s="2953">
        <f t="shared" si="2"/>
        <v>2086.4178304284142</v>
      </c>
      <c r="H16" s="2954">
        <f t="shared" si="2"/>
        <v>1023.7011637617506</v>
      </c>
      <c r="I16" s="2954">
        <f t="shared" si="2"/>
        <v>840.43867837158541</v>
      </c>
      <c r="J16" s="2954">
        <f t="shared" si="2"/>
        <v>1264.8836556196729</v>
      </c>
      <c r="K16" s="2954">
        <f t="shared" si="2"/>
        <v>1110.1261898469966</v>
      </c>
      <c r="L16" s="2954">
        <f t="shared" si="2"/>
        <v>908.30865561967221</v>
      </c>
      <c r="M16" s="2954">
        <f t="shared" si="2"/>
        <v>1170.8836556196729</v>
      </c>
      <c r="N16" s="2954">
        <f t="shared" si="2"/>
        <v>1171.3130040743199</v>
      </c>
      <c r="O16" s="2955">
        <f t="shared" si="2"/>
        <v>1053.3897006196712</v>
      </c>
      <c r="P16" s="2956">
        <f t="shared" si="2"/>
        <v>10809.462533961778</v>
      </c>
      <c r="Q16" s="2559"/>
      <c r="R16" s="2559"/>
      <c r="S16" s="2969">
        <f t="shared" si="3"/>
        <v>466</v>
      </c>
      <c r="T16" s="2972">
        <f t="shared" si="4"/>
        <v>180</v>
      </c>
      <c r="U16" s="2956">
        <f t="shared" si="5"/>
        <v>10809.462533961778</v>
      </c>
      <c r="V16" s="2887"/>
      <c r="W16" s="2973">
        <f t="shared" si="6"/>
        <v>2.516606361721661E-2</v>
      </c>
      <c r="X16" s="2974">
        <f t="shared" si="7"/>
        <v>9.5729404882199647E-3</v>
      </c>
      <c r="Y16" s="2975">
        <f t="shared" ref="Y16" si="13">IF($Q47=0,0,U16/$Q47)</f>
        <v>6.3631861862909658E-2</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3659</v>
      </c>
      <c r="G19" s="2925">
        <f t="shared" si="2"/>
        <v>840.38615000000027</v>
      </c>
      <c r="H19" s="2926">
        <f t="shared" si="2"/>
        <v>864.41948333333312</v>
      </c>
      <c r="I19" s="2926">
        <f t="shared" si="2"/>
        <v>892.25967666666656</v>
      </c>
      <c r="J19" s="2926">
        <f t="shared" si="2"/>
        <v>922.10257666666621</v>
      </c>
      <c r="K19" s="2926">
        <f t="shared" si="2"/>
        <v>922.10257666666621</v>
      </c>
      <c r="L19" s="2926">
        <f t="shared" si="2"/>
        <v>933.10257666666621</v>
      </c>
      <c r="M19" s="2926">
        <f t="shared" si="2"/>
        <v>932.10257666666621</v>
      </c>
      <c r="N19" s="2926">
        <f t="shared" si="2"/>
        <v>949.25967666666656</v>
      </c>
      <c r="O19" s="2927">
        <f t="shared" si="2"/>
        <v>977.39944166666646</v>
      </c>
      <c r="P19" s="2937">
        <f t="shared" si="2"/>
        <v>11892.134735</v>
      </c>
      <c r="Q19" s="2559"/>
      <c r="R19" s="2559"/>
      <c r="S19" s="2967">
        <f t="shared" si="3"/>
        <v>3133</v>
      </c>
      <c r="T19" s="2995">
        <f t="shared" si="4"/>
        <v>3659</v>
      </c>
      <c r="U19" s="2996">
        <f t="shared" si="5"/>
        <v>11892.134735</v>
      </c>
      <c r="V19" s="2887"/>
      <c r="W19" s="2984">
        <f t="shared" si="6"/>
        <v>0.2967699156957469</v>
      </c>
      <c r="X19" s="2985">
        <f t="shared" si="7"/>
        <v>0.36476921543216029</v>
      </c>
      <c r="Y19" s="2986">
        <f t="shared" ref="Y19" si="16">IF($Q50=0,0,U19/$Q50)</f>
        <v>0.13102981230511573</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-3489.1799999999994</v>
      </c>
      <c r="G20" s="2925">
        <f t="shared" si="2"/>
        <v>1245.8516804284154</v>
      </c>
      <c r="H20" s="2926">
        <f t="shared" si="2"/>
        <v>160.10168042841542</v>
      </c>
      <c r="I20" s="2926">
        <f t="shared" si="2"/>
        <v>-51.000998295082354</v>
      </c>
      <c r="J20" s="2926">
        <f t="shared" si="2"/>
        <v>342.60107895300462</v>
      </c>
      <c r="K20" s="2926">
        <f t="shared" si="2"/>
        <v>187.84361318032825</v>
      </c>
      <c r="L20" s="2926">
        <f t="shared" si="2"/>
        <v>-24.973921046994292</v>
      </c>
      <c r="M20" s="2926">
        <f t="shared" si="2"/>
        <v>239.60107895300462</v>
      </c>
      <c r="N20" s="2926">
        <f t="shared" si="2"/>
        <v>221.87342405765048</v>
      </c>
      <c r="O20" s="2927">
        <f t="shared" si="2"/>
        <v>87.810355603005519</v>
      </c>
      <c r="P20" s="2937">
        <f t="shared" si="2"/>
        <v>-1079.7620077382453</v>
      </c>
      <c r="Q20" s="2559"/>
      <c r="R20" s="2559"/>
      <c r="S20" s="2967">
        <f t="shared" si="3"/>
        <v>-2414.8899999999994</v>
      </c>
      <c r="T20" s="2995">
        <f t="shared" si="4"/>
        <v>-3489.1799999999994</v>
      </c>
      <c r="U20" s="2996">
        <f t="shared" si="5"/>
        <v>-1079.7620077382453</v>
      </c>
      <c r="V20" s="2887"/>
      <c r="W20" s="2984">
        <f t="shared" si="6"/>
        <v>-0.3376660966398245</v>
      </c>
      <c r="X20" s="2985">
        <f t="shared" si="7"/>
        <v>-0.4241648431801604</v>
      </c>
      <c r="Y20" s="2986">
        <f t="shared" ref="Y20" si="17">IF($Q51=0,0,U20/$Q51)</f>
        <v>-1.4540486779221984E-2</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-0.41000000000008185</v>
      </c>
      <c r="G31" s="2925">
        <f t="shared" si="23"/>
        <v>-0.41000000000008185</v>
      </c>
      <c r="H31" s="2926">
        <f t="shared" si="23"/>
        <v>-0.41000000000008185</v>
      </c>
      <c r="I31" s="2926">
        <f t="shared" si="23"/>
        <v>-0.41000000000008185</v>
      </c>
      <c r="J31" s="2926">
        <f t="shared" si="23"/>
        <v>-0.41000000000008185</v>
      </c>
      <c r="K31" s="2926">
        <f t="shared" si="23"/>
        <v>-0.41000000000008185</v>
      </c>
      <c r="L31" s="2926">
        <f t="shared" si="23"/>
        <v>-0.41000000000008185</v>
      </c>
      <c r="M31" s="2926">
        <f t="shared" si="23"/>
        <v>-0.41000000000008185</v>
      </c>
      <c r="N31" s="2926">
        <f t="shared" si="23"/>
        <v>-0.41000000000008185</v>
      </c>
      <c r="O31" s="2927">
        <f t="shared" si="23"/>
        <v>-0.41000000000008185</v>
      </c>
      <c r="P31" s="2937">
        <f t="shared" si="23"/>
        <v>-3.9399999999986903</v>
      </c>
      <c r="Q31" s="2559"/>
      <c r="R31" s="2559"/>
      <c r="S31" s="2967">
        <f t="shared" si="3"/>
        <v>-234.57000000000005</v>
      </c>
      <c r="T31" s="2995">
        <f t="shared" si="4"/>
        <v>-0.41000000000008185</v>
      </c>
      <c r="U31" s="2996">
        <f t="shared" si="5"/>
        <v>-3.9399999999986903</v>
      </c>
      <c r="V31" s="2887"/>
      <c r="W31" s="2984">
        <f t="shared" si="6"/>
        <v>-0.31144776674279046</v>
      </c>
      <c r="X31" s="2985">
        <f t="shared" si="7"/>
        <v>-7.8998073217742169E-4</v>
      </c>
      <c r="Y31" s="2986">
        <f t="shared" ref="Y31" si="29">IF($Q62=0,0,U31/$Q62)</f>
        <v>-8.4350246199929146E-4</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-0.40999999999999659</v>
      </c>
      <c r="G32" s="2925">
        <f t="shared" si="23"/>
        <v>-0.40999999999999659</v>
      </c>
      <c r="H32" s="2926">
        <f t="shared" si="23"/>
        <v>-0.40999999999999659</v>
      </c>
      <c r="I32" s="2926">
        <f t="shared" si="23"/>
        <v>-0.40999999999999659</v>
      </c>
      <c r="J32" s="2926">
        <f t="shared" si="23"/>
        <v>-0.40999999999999659</v>
      </c>
      <c r="K32" s="2926">
        <f t="shared" si="23"/>
        <v>-0.40999999999999659</v>
      </c>
      <c r="L32" s="2926">
        <f t="shared" si="23"/>
        <v>-0.40999999999999659</v>
      </c>
      <c r="M32" s="2926">
        <f t="shared" si="23"/>
        <v>-0.40999999999999659</v>
      </c>
      <c r="N32" s="2926">
        <f t="shared" si="23"/>
        <v>-0.40999999999999659</v>
      </c>
      <c r="O32" s="2927">
        <f t="shared" si="23"/>
        <v>-0.40999999999999659</v>
      </c>
      <c r="P32" s="2937">
        <f t="shared" si="23"/>
        <v>-3.9699999999999136</v>
      </c>
      <c r="Q32" s="2559"/>
      <c r="R32" s="2559"/>
      <c r="S32" s="2967">
        <f t="shared" si="3"/>
        <v>-26.539999999999992</v>
      </c>
      <c r="T32" s="2995">
        <f t="shared" si="4"/>
        <v>-0.40999999999999659</v>
      </c>
      <c r="U32" s="2996">
        <f t="shared" si="5"/>
        <v>-3.9699999999999136</v>
      </c>
      <c r="V32" s="2887"/>
      <c r="W32" s="2984">
        <f t="shared" si="6"/>
        <v>-0.49952945605119509</v>
      </c>
      <c r="X32" s="2985">
        <f t="shared" si="7"/>
        <v>-1.5185185185185059E-2</v>
      </c>
      <c r="Y32" s="2986">
        <f t="shared" ref="Y32" si="30">IF($Q63=0,0,U32/$Q63)</f>
        <v>-1.6337448559670426E-2</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169</v>
      </c>
      <c r="G35" s="2953">
        <f t="shared" si="23"/>
        <v>2085.4178304284142</v>
      </c>
      <c r="H35" s="2954">
        <f t="shared" si="23"/>
        <v>1023.701163761747</v>
      </c>
      <c r="I35" s="2954">
        <f t="shared" si="23"/>
        <v>840.43867837158541</v>
      </c>
      <c r="J35" s="2954">
        <f t="shared" si="23"/>
        <v>1263.8836556196693</v>
      </c>
      <c r="K35" s="2954">
        <f t="shared" si="23"/>
        <v>1109.1261898469966</v>
      </c>
      <c r="L35" s="2954">
        <f t="shared" si="23"/>
        <v>907.30865561967221</v>
      </c>
      <c r="M35" s="2954">
        <f t="shared" si="23"/>
        <v>1170.8836556196693</v>
      </c>
      <c r="N35" s="2954">
        <f t="shared" si="23"/>
        <v>1170.3131007243173</v>
      </c>
      <c r="O35" s="2955">
        <f t="shared" si="23"/>
        <v>1064.3897972696723</v>
      </c>
      <c r="P35" s="2956">
        <f t="shared" si="23"/>
        <v>10804.462727261765</v>
      </c>
      <c r="Q35" s="2559"/>
      <c r="R35" s="2559"/>
      <c r="S35" s="2969">
        <f t="shared" si="3"/>
        <v>457</v>
      </c>
      <c r="T35" s="2972">
        <f t="shared" si="4"/>
        <v>169</v>
      </c>
      <c r="U35" s="2956">
        <f t="shared" si="5"/>
        <v>10804.462727261765</v>
      </c>
      <c r="V35" s="2887"/>
      <c r="W35" s="2973">
        <f t="shared" si="6"/>
        <v>2.4682689711045099E-2</v>
      </c>
      <c r="X35" s="2974">
        <f t="shared" si="7"/>
        <v>8.9879274583843007E-3</v>
      </c>
      <c r="Y35" s="2975">
        <f t="shared" ref="Y35" si="33">IF($Q66=0,0,U35/$Q66)</f>
        <v>6.3581095539755703E-2</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11</v>
      </c>
      <c r="G36" s="2959">
        <f t="shared" si="23"/>
        <v>1</v>
      </c>
      <c r="H36" s="2960">
        <f t="shared" si="23"/>
        <v>3.637978807091713E-12</v>
      </c>
      <c r="I36" s="2960">
        <f t="shared" si="23"/>
        <v>0</v>
      </c>
      <c r="J36" s="2960">
        <f t="shared" si="23"/>
        <v>1.000000000003638</v>
      </c>
      <c r="K36" s="2960">
        <f t="shared" si="23"/>
        <v>1</v>
      </c>
      <c r="L36" s="2960">
        <f t="shared" si="23"/>
        <v>1</v>
      </c>
      <c r="M36" s="2960">
        <f t="shared" si="23"/>
        <v>3.637978807091713E-12</v>
      </c>
      <c r="N36" s="2960">
        <f t="shared" si="23"/>
        <v>0.99990335000256891</v>
      </c>
      <c r="O36" s="2961">
        <f t="shared" si="23"/>
        <v>-11.000096650001069</v>
      </c>
      <c r="P36" s="2962">
        <f t="shared" si="23"/>
        <v>4.9998067000124138</v>
      </c>
      <c r="Q36" s="2559"/>
      <c r="R36" s="2559"/>
      <c r="S36" s="2971">
        <f t="shared" si="3"/>
        <v>9</v>
      </c>
      <c r="T36" s="2976">
        <f t="shared" si="4"/>
        <v>11</v>
      </c>
      <c r="U36" s="2977">
        <f>P36</f>
        <v>4.9998067000124138</v>
      </c>
      <c r="V36" s="2887"/>
      <c r="W36" s="2978">
        <f t="shared" si="6"/>
        <v>4.5</v>
      </c>
      <c r="X36" s="2979">
        <f t="shared" si="7"/>
        <v>0</v>
      </c>
      <c r="Y36" s="2980">
        <f t="shared" ref="Y36" si="34">IF($Q67=0,0,U36/$Q67)</f>
        <v>-8.7715907017761649E-2</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1995</v>
      </c>
      <c r="G43" s="2905">
        <v>1995</v>
      </c>
      <c r="H43" s="2905">
        <v>1995</v>
      </c>
      <c r="I43" s="2905">
        <v>1995</v>
      </c>
      <c r="J43" s="2906">
        <v>1987</v>
      </c>
      <c r="K43" s="2906">
        <v>1987</v>
      </c>
      <c r="L43" s="2906">
        <v>1987</v>
      </c>
      <c r="M43" s="2906">
        <v>1987</v>
      </c>
      <c r="N43" s="2906">
        <v>1987</v>
      </c>
      <c r="O43" s="2906">
        <v>1987</v>
      </c>
      <c r="P43" s="2937">
        <f t="shared" si="36"/>
        <v>23752</v>
      </c>
      <c r="Q43" s="2937">
        <f>IF(LEFT($T$3,3)="Mar",0,SUM(INDEX($D43:$O43,1,MATCH(LEFT($T$3,3),$D$6:$O$6,0)+1):$O43))</f>
        <v>17907</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0</v>
      </c>
      <c r="G44" s="2905">
        <v>0</v>
      </c>
      <c r="H44" s="2906">
        <v>0</v>
      </c>
      <c r="I44" s="2906">
        <v>0</v>
      </c>
      <c r="J44" s="2906">
        <v>0</v>
      </c>
      <c r="K44" s="2906">
        <v>0</v>
      </c>
      <c r="L44" s="2906">
        <v>0</v>
      </c>
      <c r="M44" s="2906">
        <v>0</v>
      </c>
      <c r="N44" s="2906">
        <v>0</v>
      </c>
      <c r="O44" s="2907">
        <v>0</v>
      </c>
      <c r="P44" s="2937">
        <f t="shared" si="36"/>
        <v>34</v>
      </c>
      <c r="Q44" s="2937">
        <f>IF(LEFT($T$3,3)="Mar",0,SUM(INDEX($D44:$O44,1,MATCH(LEFT($T$3,3),$D$6:$O$6,0)+1):$O44))</f>
        <v>0</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16441</v>
      </c>
      <c r="G45" s="2905">
        <v>15933</v>
      </c>
      <c r="H45" s="2906">
        <v>15893</v>
      </c>
      <c r="I45" s="2906">
        <v>16477</v>
      </c>
      <c r="J45" s="2906">
        <v>16611</v>
      </c>
      <c r="K45" s="2906">
        <v>16418</v>
      </c>
      <c r="L45" s="2906">
        <v>16919</v>
      </c>
      <c r="M45" s="2906">
        <v>16454</v>
      </c>
      <c r="N45" s="2906">
        <v>16416</v>
      </c>
      <c r="O45" s="2907">
        <v>17563</v>
      </c>
      <c r="P45" s="2937">
        <f t="shared" si="36"/>
        <v>196967</v>
      </c>
      <c r="Q45" s="2937">
        <f>IF(LEFT($T$3,3)="Mar",0,SUM(INDEX($D45:$O45,1,MATCH(LEFT($T$3,3),$D$6:$O$6,0)+1):$O45))</f>
        <v>148684</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367</v>
      </c>
      <c r="G46" s="2909">
        <v>367</v>
      </c>
      <c r="H46" s="2910">
        <v>366</v>
      </c>
      <c r="I46" s="2910">
        <v>366</v>
      </c>
      <c r="J46" s="2910">
        <v>366</v>
      </c>
      <c r="K46" s="2910">
        <v>366</v>
      </c>
      <c r="L46" s="2910">
        <v>366</v>
      </c>
      <c r="M46" s="2910">
        <v>364</v>
      </c>
      <c r="N46" s="2910">
        <v>361</v>
      </c>
      <c r="O46" s="2911">
        <v>362</v>
      </c>
      <c r="P46" s="2938">
        <f t="shared" si="36"/>
        <v>4639</v>
      </c>
      <c r="Q46" s="2938">
        <f>IF(LEFT($T$3,3)="Mar",0,SUM(INDEX($D46:$O46,1,MATCH(LEFT($T$3,3),$D$6:$O$6,0)+1):$O46))</f>
        <v>3284</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18803</v>
      </c>
      <c r="G47" s="2875">
        <f t="shared" si="37"/>
        <v>18295</v>
      </c>
      <c r="H47" s="2876">
        <f t="shared" si="37"/>
        <v>18254</v>
      </c>
      <c r="I47" s="2876">
        <f t="shared" si="37"/>
        <v>18838</v>
      </c>
      <c r="J47" s="2876">
        <f t="shared" si="37"/>
        <v>18964</v>
      </c>
      <c r="K47" s="2876">
        <f t="shared" si="37"/>
        <v>18771</v>
      </c>
      <c r="L47" s="2876">
        <f t="shared" si="37"/>
        <v>19272</v>
      </c>
      <c r="M47" s="2876">
        <f t="shared" si="37"/>
        <v>18805</v>
      </c>
      <c r="N47" s="2876">
        <f t="shared" si="37"/>
        <v>18764</v>
      </c>
      <c r="O47" s="2877">
        <f>SUM(O41:O46)</f>
        <v>19912</v>
      </c>
      <c r="P47" s="2878">
        <f t="shared" si="36"/>
        <v>225392</v>
      </c>
      <c r="Q47" s="2878">
        <f>IF(LEFT($T$3,3)="Mar",0,SUM(INDEX($D47:$O47,1,MATCH(LEFT($T$3,3),$D$6:$O$6,0)+1):$O47))</f>
        <v>169875</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10031</v>
      </c>
      <c r="G50" s="2905">
        <v>10072</v>
      </c>
      <c r="H50" s="2906">
        <v>10060</v>
      </c>
      <c r="I50" s="2906">
        <v>10072</v>
      </c>
      <c r="J50" s="2906">
        <v>10093</v>
      </c>
      <c r="K50" s="2906">
        <v>10093</v>
      </c>
      <c r="L50" s="2906">
        <v>10082</v>
      </c>
      <c r="M50" s="2906">
        <v>10079</v>
      </c>
      <c r="N50" s="2906">
        <v>10052</v>
      </c>
      <c r="O50" s="2907">
        <v>10156</v>
      </c>
      <c r="P50" s="2937">
        <f t="shared" si="36"/>
        <v>121498</v>
      </c>
      <c r="Q50" s="2937">
        <f>IF(LEFT($T$3,3)="Mar",0,SUM(INDEX($D50:$O50,1,MATCH(LEFT($T$3,3),$D$6:$O$6,0)+1):$O50))</f>
        <v>90759</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8226</v>
      </c>
      <c r="G51" s="2905">
        <v>7678</v>
      </c>
      <c r="H51" s="2906">
        <v>7648</v>
      </c>
      <c r="I51" s="2906">
        <v>8220</v>
      </c>
      <c r="J51" s="2906">
        <v>8326</v>
      </c>
      <c r="K51" s="2906">
        <v>8133</v>
      </c>
      <c r="L51" s="2906">
        <v>8645</v>
      </c>
      <c r="M51" s="2906">
        <v>8180</v>
      </c>
      <c r="N51" s="2906">
        <v>8167</v>
      </c>
      <c r="O51" s="2907">
        <v>9262</v>
      </c>
      <c r="P51" s="2937">
        <f t="shared" si="36"/>
        <v>97349.179000000004</v>
      </c>
      <c r="Q51" s="2937">
        <f>IF(LEFT($T$3,3)="Mar",0,SUM(INDEX($D51:$O51,1,MATCH(LEFT($T$3,3),$D$6:$O$6,0)+1):$O51))</f>
        <v>74259</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519</v>
      </c>
      <c r="G62" s="2917">
        <v>519</v>
      </c>
      <c r="H62" s="2917">
        <v>519</v>
      </c>
      <c r="I62" s="2917">
        <v>519</v>
      </c>
      <c r="J62" s="2917">
        <v>519</v>
      </c>
      <c r="K62" s="2917">
        <v>519</v>
      </c>
      <c r="L62" s="2917">
        <v>519</v>
      </c>
      <c r="M62" s="2917">
        <v>519</v>
      </c>
      <c r="N62" s="2917">
        <v>519</v>
      </c>
      <c r="O62" s="2917">
        <v>519</v>
      </c>
      <c r="P62" s="2937">
        <f t="shared" si="36"/>
        <v>6226.8209999999999</v>
      </c>
      <c r="Q62" s="2937">
        <f>IF(LEFT($T$3,3)="Mar",0,SUM(INDEX($D62:$O62,1,MATCH(LEFT($T$3,3),$D$6:$O$6,0)+1):$O62))</f>
        <v>4671</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27</v>
      </c>
      <c r="G63" s="2917">
        <v>27</v>
      </c>
      <c r="H63" s="2917">
        <v>27</v>
      </c>
      <c r="I63" s="2917">
        <v>27</v>
      </c>
      <c r="J63" s="2917">
        <v>27</v>
      </c>
      <c r="K63" s="2917">
        <v>27</v>
      </c>
      <c r="L63" s="2917">
        <v>27</v>
      </c>
      <c r="M63" s="2917">
        <v>27</v>
      </c>
      <c r="N63" s="2917">
        <v>27</v>
      </c>
      <c r="O63" s="2917">
        <v>27</v>
      </c>
      <c r="P63" s="2937">
        <f t="shared" si="36"/>
        <v>323</v>
      </c>
      <c r="Q63" s="2937">
        <f>IF(LEFT($T$3,3)="Mar",0,SUM(INDEX($D63:$O63,1,MATCH(LEFT($T$3,3),$D$6:$O$6,0)+1):$O63))</f>
        <v>243</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18803</v>
      </c>
      <c r="G66" s="2875">
        <f t="shared" si="38"/>
        <v>18296</v>
      </c>
      <c r="H66" s="2876">
        <f t="shared" si="38"/>
        <v>18254</v>
      </c>
      <c r="I66" s="2876">
        <f t="shared" si="38"/>
        <v>18838</v>
      </c>
      <c r="J66" s="2876">
        <f t="shared" si="38"/>
        <v>18965</v>
      </c>
      <c r="K66" s="2876">
        <f t="shared" si="38"/>
        <v>18772</v>
      </c>
      <c r="L66" s="2876">
        <f t="shared" si="38"/>
        <v>19273</v>
      </c>
      <c r="M66" s="2876">
        <f t="shared" si="38"/>
        <v>18805</v>
      </c>
      <c r="N66" s="2876">
        <f t="shared" si="38"/>
        <v>18765</v>
      </c>
      <c r="O66" s="2877">
        <f t="shared" si="38"/>
        <v>19964</v>
      </c>
      <c r="P66" s="2878">
        <f t="shared" si="36"/>
        <v>225397</v>
      </c>
      <c r="Q66" s="2878">
        <f>IF(LEFT($T$3,3)="Mar",0,SUM(INDEX($D66:$O66,1,MATCH(LEFT($T$3,3),$D$6:$O$6,0)+1):$O66))</f>
        <v>169932</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0</v>
      </c>
      <c r="G67" s="2883">
        <f t="shared" si="39"/>
        <v>-1</v>
      </c>
      <c r="H67" s="2884">
        <f t="shared" si="39"/>
        <v>0</v>
      </c>
      <c r="I67" s="2884">
        <f t="shared" si="39"/>
        <v>0</v>
      </c>
      <c r="J67" s="2884">
        <f t="shared" si="39"/>
        <v>-1</v>
      </c>
      <c r="K67" s="2884">
        <f t="shared" si="39"/>
        <v>-1</v>
      </c>
      <c r="L67" s="2884">
        <f t="shared" si="39"/>
        <v>-1</v>
      </c>
      <c r="M67" s="2884">
        <f t="shared" si="39"/>
        <v>0</v>
      </c>
      <c r="N67" s="2884">
        <f t="shared" si="39"/>
        <v>-1</v>
      </c>
      <c r="O67" s="2885">
        <f t="shared" si="39"/>
        <v>-52</v>
      </c>
      <c r="P67" s="2886">
        <f t="shared" si="36"/>
        <v>-5</v>
      </c>
      <c r="Q67" s="2886">
        <f>IF(LEFT($T$3,3)="Mar",0,SUM(INDEX($D67:$O67,1,MATCH(LEFT($T$3,3),$D$6:$O$6,0)+1):$O67))</f>
        <v>-57</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1934</v>
      </c>
      <c r="H76" s="2926">
        <f>'B - Monthly Positions'!H13</f>
        <v>1934</v>
      </c>
      <c r="I76" s="2926">
        <f>'B - Monthly Positions'!I13</f>
        <v>1934</v>
      </c>
      <c r="J76" s="2926">
        <f>'B - Monthly Positions'!J13</f>
        <v>1927</v>
      </c>
      <c r="K76" s="2926">
        <f>'B - Monthly Positions'!K13</f>
        <v>1927</v>
      </c>
      <c r="L76" s="2926">
        <f>'B - Monthly Positions'!L13</f>
        <v>1927</v>
      </c>
      <c r="M76" s="2926">
        <f>'B - Monthly Positions'!M13</f>
        <v>1927</v>
      </c>
      <c r="N76" s="2926">
        <f>'B - Monthly Positions'!N13</f>
        <v>1927</v>
      </c>
      <c r="O76" s="2927">
        <f>'B - Monthly Positions'!O13</f>
        <v>1928</v>
      </c>
      <c r="P76" s="2937">
        <f t="shared" si="41"/>
        <v>23414</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0</v>
      </c>
      <c r="H77" s="2926">
        <f>'B - Monthly Positions'!H14</f>
        <v>0</v>
      </c>
      <c r="I77" s="2926">
        <f>'B - Monthly Positions'!I14</f>
        <v>0</v>
      </c>
      <c r="J77" s="2926">
        <f>'B - Monthly Positions'!J14</f>
        <v>0</v>
      </c>
      <c r="K77" s="2926">
        <f>'B - Monthly Positions'!K14</f>
        <v>0</v>
      </c>
      <c r="L77" s="2926">
        <f>'B - Monthly Positions'!L14</f>
        <v>0</v>
      </c>
      <c r="M77" s="2926">
        <f>'B - Monthly Positions'!M14</f>
        <v>0</v>
      </c>
      <c r="N77" s="2926">
        <f>'B - Monthly Positions'!N14</f>
        <v>0</v>
      </c>
      <c r="O77" s="2927">
        <f>'B - Monthly Positions'!O14</f>
        <v>0</v>
      </c>
      <c r="P77" s="2937">
        <f t="shared" si="41"/>
        <v>50</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18062.749830428413</v>
      </c>
      <c r="H78" s="2926">
        <f>'B - Monthly Positions'!H15</f>
        <v>16960.033163761749</v>
      </c>
      <c r="I78" s="2926">
        <f>'B - Monthly Positions'!I15</f>
        <v>17360.770678371584</v>
      </c>
      <c r="J78" s="2926">
        <f>'B - Monthly Positions'!J15</f>
        <v>17918.215655619671</v>
      </c>
      <c r="K78" s="2926">
        <f>'B - Monthly Positions'!K15</f>
        <v>17570.458189846995</v>
      </c>
      <c r="L78" s="2926">
        <f>'B - Monthly Positions'!L15</f>
        <v>17869.640655619671</v>
      </c>
      <c r="M78" s="2926">
        <f>'B - Monthly Positions'!M15</f>
        <v>17667.215655619671</v>
      </c>
      <c r="N78" s="2926">
        <f>'B - Monthly Positions'!N15</f>
        <v>17628.645004074318</v>
      </c>
      <c r="O78" s="2927">
        <f>'B - Monthly Positions'!O15</f>
        <v>18657.735700619673</v>
      </c>
      <c r="P78" s="2937">
        <f t="shared" si="41"/>
        <v>207660.46453396176</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384.66800000000001</v>
      </c>
      <c r="H79" s="2930">
        <f>'B - Monthly Positions'!H16</f>
        <v>383.66800000000001</v>
      </c>
      <c r="I79" s="2930">
        <f>'B - Monthly Positions'!I16</f>
        <v>383.66800000000001</v>
      </c>
      <c r="J79" s="2930">
        <f>'B - Monthly Positions'!J16</f>
        <v>383.66800000000001</v>
      </c>
      <c r="K79" s="2930">
        <f>'B - Monthly Positions'!K16</f>
        <v>383.66800000000001</v>
      </c>
      <c r="L79" s="2930">
        <f>'B - Monthly Positions'!L16</f>
        <v>383.66800000000001</v>
      </c>
      <c r="M79" s="2930">
        <f>'B - Monthly Positions'!M16</f>
        <v>381.66800000000001</v>
      </c>
      <c r="N79" s="2930">
        <f>'B - Monthly Positions'!N16</f>
        <v>379.66800000000001</v>
      </c>
      <c r="O79" s="2931">
        <f>'B - Monthly Positions'!O16</f>
        <v>379.654</v>
      </c>
      <c r="P79" s="2938">
        <f t="shared" si="41"/>
        <v>5076.9979999999996</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20381.417830428414</v>
      </c>
      <c r="H80" s="2954">
        <f>'B - Monthly Positions'!H17</f>
        <v>19277.701163761751</v>
      </c>
      <c r="I80" s="2954">
        <f>'B - Monthly Positions'!I17</f>
        <v>19678.438678371585</v>
      </c>
      <c r="J80" s="2954">
        <f>'B - Monthly Positions'!J17</f>
        <v>20228.883655619673</v>
      </c>
      <c r="K80" s="2954">
        <f>'B - Monthly Positions'!K17</f>
        <v>19881.126189846997</v>
      </c>
      <c r="L80" s="2954">
        <f>'B - Monthly Positions'!L17</f>
        <v>20180.308655619672</v>
      </c>
      <c r="M80" s="2954">
        <f>'B - Monthly Positions'!M17</f>
        <v>19975.883655619673</v>
      </c>
      <c r="N80" s="2954">
        <f>'B - Monthly Positions'!N17</f>
        <v>19935.31300407432</v>
      </c>
      <c r="O80" s="2955">
        <f>'B - Monthly Positions'!O17</f>
        <v>20965.389700619671</v>
      </c>
      <c r="P80" s="2956">
        <f t="shared" si="41"/>
        <v>236201.46253396178</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10912.38615</v>
      </c>
      <c r="H83" s="2926">
        <f>'B - Monthly Positions'!H20</f>
        <v>10924.419483333333</v>
      </c>
      <c r="I83" s="2926">
        <f>'B - Monthly Positions'!I20</f>
        <v>10964.259676666667</v>
      </c>
      <c r="J83" s="2926">
        <f>'B - Monthly Positions'!J20</f>
        <v>11015.102576666666</v>
      </c>
      <c r="K83" s="2926">
        <f>'B - Monthly Positions'!K20</f>
        <v>11015.102576666666</v>
      </c>
      <c r="L83" s="2926">
        <f>'B - Monthly Positions'!L20</f>
        <v>11015.102576666666</v>
      </c>
      <c r="M83" s="2926">
        <f>'B - Monthly Positions'!M20</f>
        <v>11011.102576666666</v>
      </c>
      <c r="N83" s="2926">
        <f>'B - Monthly Positions'!N20</f>
        <v>11001.259676666667</v>
      </c>
      <c r="O83" s="2927">
        <f>'B - Monthly Positions'!O20</f>
        <v>11133.399441666666</v>
      </c>
      <c r="P83" s="2937">
        <f t="shared" si="41"/>
        <v>133390.134735</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8923.8516804284154</v>
      </c>
      <c r="H84" s="2926">
        <f>'B - Monthly Positions'!H21</f>
        <v>7808.1016804284154</v>
      </c>
      <c r="I84" s="2926">
        <f>'B - Monthly Positions'!I21</f>
        <v>8168.9990017049176</v>
      </c>
      <c r="J84" s="2926">
        <f>'B - Monthly Positions'!J21</f>
        <v>8668.6010789530046</v>
      </c>
      <c r="K84" s="2926">
        <f>'B - Monthly Positions'!K21</f>
        <v>8320.8436131803282</v>
      </c>
      <c r="L84" s="2926">
        <f>'B - Monthly Positions'!L21</f>
        <v>8620.0260789530057</v>
      </c>
      <c r="M84" s="2926">
        <f>'B - Monthly Positions'!M21</f>
        <v>8419.6010789530046</v>
      </c>
      <c r="N84" s="2926">
        <f>'B - Monthly Positions'!N21</f>
        <v>8388.8734240576505</v>
      </c>
      <c r="O84" s="2927">
        <f>'B - Monthly Positions'!O21</f>
        <v>9349.8103556030055</v>
      </c>
      <c r="P84" s="2937">
        <f t="shared" si="41"/>
        <v>96269.416992261758</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518.58999999999992</v>
      </c>
      <c r="I95" s="2926">
        <f>'B - Monthly Positions'!I32</f>
        <v>518.58999999999992</v>
      </c>
      <c r="J95" s="2926">
        <f>'B - Monthly Positions'!J32</f>
        <v>518.58999999999992</v>
      </c>
      <c r="K95" s="2926">
        <f>'B - Monthly Positions'!K32</f>
        <v>518.58999999999992</v>
      </c>
      <c r="L95" s="2926">
        <f>'B - Monthly Positions'!L32</f>
        <v>518.58999999999992</v>
      </c>
      <c r="M95" s="2926">
        <f>'B - Monthly Positions'!M32</f>
        <v>518.58999999999992</v>
      </c>
      <c r="N95" s="2926">
        <f>'B - Monthly Positions'!N32</f>
        <v>518.58999999999992</v>
      </c>
      <c r="O95" s="2927">
        <f>'B - Monthly Positions'!O32</f>
        <v>518.58999999999992</v>
      </c>
      <c r="P95" s="2937">
        <f t="shared" si="41"/>
        <v>6222.8810000000012</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26.590000000000003</v>
      </c>
      <c r="I96" s="2926">
        <f>'B - Monthly Positions'!I33</f>
        <v>26.590000000000003</v>
      </c>
      <c r="J96" s="2926">
        <f>'B - Monthly Positions'!J33</f>
        <v>26.590000000000003</v>
      </c>
      <c r="K96" s="2926">
        <f>'B - Monthly Positions'!K33</f>
        <v>26.590000000000003</v>
      </c>
      <c r="L96" s="2926">
        <f>'B - Monthly Positions'!L33</f>
        <v>26.590000000000003</v>
      </c>
      <c r="M96" s="2926">
        <f>'B - Monthly Positions'!M33</f>
        <v>26.590000000000003</v>
      </c>
      <c r="N96" s="2926">
        <f>'B - Monthly Positions'!N33</f>
        <v>26.590000000000003</v>
      </c>
      <c r="O96" s="2927">
        <f>'B - Monthly Positions'!O33</f>
        <v>26.590000000000003</v>
      </c>
      <c r="P96" s="2937">
        <f t="shared" si="41"/>
        <v>319.03000000000009</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20381.417830428414</v>
      </c>
      <c r="H99" s="2954">
        <f>'B - Monthly Positions'!H36</f>
        <v>19277.701163761747</v>
      </c>
      <c r="I99" s="2954">
        <f>'B - Monthly Positions'!I36</f>
        <v>19678.438678371585</v>
      </c>
      <c r="J99" s="2954">
        <f>'B - Monthly Positions'!J36</f>
        <v>20228.883655619669</v>
      </c>
      <c r="K99" s="2954">
        <f>'B - Monthly Positions'!K36</f>
        <v>19881.126189846997</v>
      </c>
      <c r="L99" s="2954">
        <f>'B - Monthly Positions'!L36</f>
        <v>20180.308655619672</v>
      </c>
      <c r="M99" s="2954">
        <f>'B - Monthly Positions'!M36</f>
        <v>19975.883655619669</v>
      </c>
      <c r="N99" s="2954">
        <f>'B - Monthly Positions'!N36</f>
        <v>19935.313100724317</v>
      </c>
      <c r="O99" s="2955">
        <f>'B - Monthly Positions'!O36</f>
        <v>21028.389797269672</v>
      </c>
      <c r="P99" s="2956">
        <f t="shared" si="41"/>
        <v>236201.46272726177</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0</v>
      </c>
      <c r="H100" s="2960">
        <f>'B - Monthly Positions'!H37</f>
        <v>3.637978807091713E-12</v>
      </c>
      <c r="I100" s="2960">
        <f>'B - Monthly Positions'!I37</f>
        <v>0</v>
      </c>
      <c r="J100" s="2960">
        <f>'B - Monthly Positions'!J37</f>
        <v>3.637978807091713E-12</v>
      </c>
      <c r="K100" s="2960">
        <f>'B - Monthly Positions'!K37</f>
        <v>0</v>
      </c>
      <c r="L100" s="2960">
        <f>'B - Monthly Positions'!L37</f>
        <v>0</v>
      </c>
      <c r="M100" s="2960">
        <f>'B - Monthly Positions'!M37</f>
        <v>3.637978807091713E-12</v>
      </c>
      <c r="N100" s="2960">
        <f>'B - Monthly Positions'!N37</f>
        <v>-9.6649997431086376E-5</v>
      </c>
      <c r="O100" s="2961">
        <f>'B - Monthly Positions'!O37</f>
        <v>-63.000096650001069</v>
      </c>
      <c r="P100" s="2962">
        <f t="shared" si="41"/>
        <v>-1.9329998758621514E-4</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F69A4F43-A788-46F5-A2BD-1FE0696CC495}">
  <ds:schemaRefs>
    <ds:schemaRef ds:uri="http://purl.org/dc/terms/"/>
    <ds:schemaRef ds:uri="http://www.w3.org/XML/1998/namespace"/>
    <ds:schemaRef ds:uri="http://schemas.microsoft.com/office/2006/documentManagement/types"/>
    <ds:schemaRef ds:uri="27233c93-c413-4fbb-a11c-d69fcc6dbe32"/>
    <ds:schemaRef ds:uri="http://purl.org/dc/elements/1.1/"/>
    <ds:schemaRef ds:uri="fad5256b-9034-4098-a484-2992d39a629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3.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E - Resource Limits</vt:lpstr>
      <vt:lpstr>E1 - Invoiced Income</vt:lpstr>
      <vt:lpstr>F - SoFP</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2024-03-04T11:52:35Z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