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Website/"/>
    </mc:Choice>
  </mc:AlternateContent>
  <xr:revisionPtr revIDLastSave="0" documentId="8_{B0828460-3E19-428B-8E93-3A3A009CF518}" xr6:coauthVersionLast="47" xr6:coauthVersionMax="47" xr10:uidLastSave="{00000000-0000-0000-0000-000000000000}"/>
  <bookViews>
    <workbookView xWindow="28680" yWindow="-120" windowWidth="29040" windowHeight="15840" tabRatio="930"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78" l="1"/>
  <c r="N13" i="10"/>
  <c r="M13" i="10"/>
  <c r="M28" i="10"/>
  <c r="N31" i="10" l="1"/>
  <c r="D20" i="90" l="1"/>
  <c r="C20" i="90"/>
  <c r="F12" i="90" l="1"/>
  <c r="D12" i="90"/>
  <c r="N10" i="53"/>
  <c r="N16" i="53"/>
  <c r="N53" i="53"/>
  <c r="N52" i="53"/>
  <c r="N34" i="53"/>
  <c r="N35" i="53"/>
  <c r="N36" i="53"/>
  <c r="N37" i="53"/>
  <c r="N38" i="53"/>
  <c r="N39" i="53"/>
  <c r="N40" i="53"/>
  <c r="N41" i="53"/>
  <c r="N33" i="53"/>
  <c r="M40" i="53"/>
  <c r="M39" i="53"/>
  <c r="M38" i="53"/>
  <c r="M37" i="53"/>
  <c r="M34" i="53"/>
  <c r="M33" i="53"/>
  <c r="M35" i="53"/>
  <c r="M10" i="53"/>
  <c r="M17" i="53"/>
  <c r="M16" i="53"/>
  <c r="M15" i="53"/>
  <c r="M14" i="53"/>
  <c r="M12" i="53"/>
  <c r="M11" i="53"/>
  <c r="O15" i="78" l="1"/>
  <c r="N16" i="78" l="1"/>
  <c r="N14" i="78"/>
  <c r="N13" i="78"/>
  <c r="N20" i="78" l="1"/>
  <c r="N29" i="10" l="1"/>
  <c r="P23" i="91" l="1"/>
  <c r="D53" i="78"/>
  <c r="N28" i="10" l="1"/>
  <c r="N20" i="10"/>
  <c r="L15" i="10" l="1"/>
  <c r="M53" i="53" l="1"/>
  <c r="L39" i="53"/>
  <c r="L37" i="53"/>
  <c r="L34" i="53"/>
  <c r="L33" i="53"/>
  <c r="L40" i="53"/>
  <c r="L38" i="53"/>
  <c r="L35" i="53"/>
  <c r="L10" i="53"/>
  <c r="L17" i="53"/>
  <c r="L16" i="53"/>
  <c r="L15" i="53"/>
  <c r="L14" i="53"/>
  <c r="L12" i="53"/>
  <c r="L11" i="53"/>
  <c r="M20" i="78" l="1"/>
  <c r="M16" i="78"/>
  <c r="M15" i="78"/>
  <c r="M14" i="78"/>
  <c r="M13" i="78"/>
  <c r="D73" i="3" l="1"/>
  <c r="N12" i="53" l="1"/>
  <c r="D77" i="3" l="1"/>
  <c r="I28" i="10" l="1"/>
  <c r="N14" i="53" l="1"/>
  <c r="P26" i="91" l="1"/>
  <c r="H29" i="10" l="1"/>
  <c r="P25" i="91" l="1"/>
  <c r="N18" i="10"/>
  <c r="F20" i="10" l="1"/>
  <c r="N15" i="10" l="1"/>
  <c r="C12" i="90" l="1"/>
  <c r="F33" i="90" l="1"/>
  <c r="F27" i="90"/>
  <c r="F26" i="90"/>
  <c r="F25" i="90"/>
  <c r="F24" i="90"/>
  <c r="F23"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F96" i="78" l="1"/>
  <c r="G96" i="78" l="1"/>
  <c r="H96" i="78"/>
  <c r="D13" i="10"/>
  <c r="C20" i="10"/>
  <c r="D15" i="10"/>
  <c r="C15" i="10"/>
  <c r="C13" i="10"/>
  <c r="I96" i="78" l="1"/>
  <c r="D40" i="53"/>
  <c r="D39" i="53"/>
  <c r="D37" i="53"/>
  <c r="D35" i="53"/>
  <c r="D34" i="53"/>
  <c r="D33" i="53"/>
  <c r="E20" i="78"/>
  <c r="F20" i="78" l="1"/>
  <c r="G20" i="78" s="1"/>
  <c r="E33" i="53"/>
  <c r="F33" i="53" s="1"/>
  <c r="E35" i="53"/>
  <c r="E37" i="53"/>
  <c r="F37" i="53" s="1"/>
  <c r="E34" i="53"/>
  <c r="F34" i="53" s="1"/>
  <c r="E39" i="53"/>
  <c r="F39" i="53" s="1"/>
  <c r="G39" i="53" s="1"/>
  <c r="E40" i="53"/>
  <c r="F40" i="53" s="1"/>
  <c r="D20" i="10"/>
  <c r="D29" i="10"/>
  <c r="D28" i="10"/>
  <c r="C29" i="10"/>
  <c r="C28" i="10"/>
  <c r="E16" i="78"/>
  <c r="E14" i="78"/>
  <c r="E15" i="78"/>
  <c r="E13" i="78"/>
  <c r="H39" i="53" l="1"/>
  <c r="I39" i="53" s="1"/>
  <c r="G37" i="53"/>
  <c r="H20" i="78"/>
  <c r="G40" i="53"/>
  <c r="G34" i="53"/>
  <c r="G33" i="53"/>
  <c r="F14" i="78"/>
  <c r="G14" i="78" s="1"/>
  <c r="F35" i="53"/>
  <c r="F13" i="78"/>
  <c r="G13" i="78" s="1"/>
  <c r="H13" i="78" s="1"/>
  <c r="F15" i="78"/>
  <c r="G15" i="78" s="1"/>
  <c r="F16" i="78"/>
  <c r="G16" i="78" s="1"/>
  <c r="D53" i="53"/>
  <c r="G35" i="53" l="1"/>
  <c r="H37" i="53"/>
  <c r="I37" i="53" s="1"/>
  <c r="J37" i="53" s="1"/>
  <c r="J39" i="53"/>
  <c r="H33" i="53"/>
  <c r="H34" i="53"/>
  <c r="I20" i="78"/>
  <c r="J20" i="78" s="1"/>
  <c r="H40" i="53"/>
  <c r="I13" i="78"/>
  <c r="H35" i="53"/>
  <c r="H15" i="78"/>
  <c r="H16" i="78"/>
  <c r="I16" i="78" s="1"/>
  <c r="H14" i="78"/>
  <c r="F53" i="53"/>
  <c r="D36" i="53"/>
  <c r="D38" i="53"/>
  <c r="D41" i="53"/>
  <c r="K37" i="53" l="1"/>
  <c r="K39" i="53"/>
  <c r="I33" i="53"/>
  <c r="K20" i="78"/>
  <c r="L20" i="78" s="1"/>
  <c r="I35" i="53"/>
  <c r="J35" i="53" s="1"/>
  <c r="I34" i="53"/>
  <c r="I15" i="78"/>
  <c r="J33" i="53"/>
  <c r="K33" i="53" s="1"/>
  <c r="J13" i="78"/>
  <c r="K13" i="78" s="1"/>
  <c r="L13" i="78" s="1"/>
  <c r="I14" i="78"/>
  <c r="J14" i="78" s="1"/>
  <c r="J16" i="78"/>
  <c r="I40" i="53"/>
  <c r="J40" i="53" s="1"/>
  <c r="E36" i="53"/>
  <c r="F36" i="53" s="1"/>
  <c r="E38" i="53"/>
  <c r="F38" i="53" s="1"/>
  <c r="E41" i="53"/>
  <c r="F41" i="53" s="1"/>
  <c r="U12" i="69"/>
  <c r="T12" i="69"/>
  <c r="S12" i="69"/>
  <c r="R12" i="69"/>
  <c r="Q12" i="69"/>
  <c r="P12" i="69"/>
  <c r="O12" i="69"/>
  <c r="N12" i="69"/>
  <c r="M12" i="69"/>
  <c r="L12" i="69"/>
  <c r="K12" i="69"/>
  <c r="J12" i="69"/>
  <c r="F14" i="69"/>
  <c r="K16" i="78" l="1"/>
  <c r="L16" i="78"/>
  <c r="K40" i="53"/>
  <c r="K35" i="53"/>
  <c r="J34" i="53"/>
  <c r="K34" i="53" s="1"/>
  <c r="K14" i="78"/>
  <c r="L14" i="78" s="1"/>
  <c r="J15" i="78"/>
  <c r="K15" i="78" s="1"/>
  <c r="L15" i="78" s="1"/>
  <c r="G38" i="53"/>
  <c r="H38" i="53" s="1"/>
  <c r="C10" i="53"/>
  <c r="C17" i="53"/>
  <c r="C16" i="53"/>
  <c r="C15" i="53"/>
  <c r="C14" i="53"/>
  <c r="C12" i="53"/>
  <c r="C11" i="53"/>
  <c r="I38" i="53" l="1"/>
  <c r="D17" i="53"/>
  <c r="E17" i="53" s="1"/>
  <c r="D12" i="53"/>
  <c r="E12" i="53" s="1"/>
  <c r="D14" i="53"/>
  <c r="E14" i="53" s="1"/>
  <c r="D15" i="53"/>
  <c r="E15" i="53" s="1"/>
  <c r="D16" i="53"/>
  <c r="D10" i="53"/>
  <c r="D11" i="53"/>
  <c r="E11" i="53" s="1"/>
  <c r="D72" i="78"/>
  <c r="J38" i="53" l="1"/>
  <c r="K38" i="53" s="1"/>
  <c r="F12" i="53"/>
  <c r="F14" i="53"/>
  <c r="E16" i="53"/>
  <c r="F17" i="53"/>
  <c r="G17" i="53" s="1"/>
  <c r="F15" i="53"/>
  <c r="E10" i="53"/>
  <c r="F11" i="53"/>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G11" i="53" l="1"/>
  <c r="G12" i="53"/>
  <c r="F16" i="53"/>
  <c r="G14" i="53"/>
  <c r="H11" i="53"/>
  <c r="I11" i="53" s="1"/>
  <c r="H17" i="53"/>
  <c r="H12" i="53"/>
  <c r="I12" i="53" s="1"/>
  <c r="F10" i="53"/>
  <c r="G15" i="53"/>
  <c r="AK46" i="89"/>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G10" i="53" l="1"/>
  <c r="H10" i="53" s="1"/>
  <c r="I10" i="53" s="1"/>
  <c r="J10" i="53" s="1"/>
  <c r="K10" i="53" s="1"/>
  <c r="H14" i="53"/>
  <c r="I14" i="53" s="1"/>
  <c r="G16" i="53"/>
  <c r="H16" i="53" s="1"/>
  <c r="J12" i="53"/>
  <c r="K12" i="53" s="1"/>
  <c r="J11" i="53"/>
  <c r="K11" i="53" s="1"/>
  <c r="I17" i="53"/>
  <c r="J17" i="53" s="1"/>
  <c r="K17" i="53" s="1"/>
  <c r="H15" i="53"/>
  <c r="I15" i="53" s="1"/>
  <c r="J15" i="53" s="1"/>
  <c r="K15" i="53" s="1"/>
  <c r="T3" i="97"/>
  <c r="S299" i="94"/>
  <c r="S300" i="94"/>
  <c r="S301" i="94"/>
  <c r="S302" i="94"/>
  <c r="S303" i="94"/>
  <c r="S304" i="94"/>
  <c r="S305" i="94"/>
  <c r="S307" i="94"/>
  <c r="S308" i="94"/>
  <c r="S309" i="94"/>
  <c r="S298" i="94"/>
  <c r="F322" i="94"/>
  <c r="E322" i="94"/>
  <c r="C322" i="94"/>
  <c r="J14" i="53" l="1"/>
  <c r="K14" i="53"/>
  <c r="I16" i="53"/>
  <c r="J16" i="53" s="1"/>
  <c r="K16" i="53" s="1"/>
  <c r="Q65" i="97"/>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60" i="94" l="1"/>
  <c r="D1706" i="94"/>
  <c r="D1621" i="94"/>
  <c r="B11" i="97"/>
  <c r="D1707" i="94" s="1"/>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D30" i="97" s="1"/>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D28" i="97" s="1"/>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D26" i="97" s="1"/>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D24" i="97" s="1"/>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D34" i="97"/>
  <c r="I25" i="97"/>
  <c r="L1634" i="94" s="1"/>
  <c r="D22" i="97"/>
  <c r="I21" i="97"/>
  <c r="L1630" i="94" s="1"/>
  <c r="D1622" i="94" l="1"/>
  <c r="B12" i="97"/>
  <c r="D1734" i="94"/>
  <c r="L28" i="97"/>
  <c r="O1637" i="94" s="1"/>
  <c r="H23" i="97"/>
  <c r="K1632" i="94" s="1"/>
  <c r="H27" i="97"/>
  <c r="K1636" i="94" s="1"/>
  <c r="H34" i="97"/>
  <c r="K1643" i="94" s="1"/>
  <c r="L26" i="97"/>
  <c r="O1635" i="94" s="1"/>
  <c r="L34" i="97"/>
  <c r="O1643" i="94" s="1"/>
  <c r="L22" i="97"/>
  <c r="O1631" i="94" s="1"/>
  <c r="L24" i="97"/>
  <c r="O1633" i="94" s="1"/>
  <c r="L30" i="97"/>
  <c r="O1639" i="94" s="1"/>
  <c r="L18" i="97"/>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57" i="94" l="1"/>
  <c r="U1757" i="94" s="1"/>
  <c r="S1745" i="94"/>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S1763" i="94" l="1"/>
  <c r="U1763" i="94" s="1"/>
  <c r="Y13" i="97"/>
  <c r="B16" i="97"/>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D154" i="92"/>
  <c r="E78" i="97" s="1"/>
  <c r="N141" i="92"/>
  <c r="DS140" i="84"/>
  <c r="O13" i="69"/>
  <c r="DM147" i="84"/>
  <c r="DQ151" i="84"/>
  <c r="S15" i="69"/>
  <c r="DI151" i="84"/>
  <c r="K15" i="69"/>
  <c r="I154" i="92"/>
  <c r="K88" i="92"/>
  <c r="DP87" i="84"/>
  <c r="DK151" i="84"/>
  <c r="M15" i="69"/>
  <c r="K154" i="92"/>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P157" i="84" l="1"/>
  <c r="DI157" i="84"/>
  <c r="M78" i="97"/>
  <c r="M509" i="94"/>
  <c r="J78" i="97"/>
  <c r="H1681" i="94"/>
  <c r="E14" i="97"/>
  <c r="I509" i="94"/>
  <c r="F78" i="97"/>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S14" i="97" l="1"/>
  <c r="W14" i="97" s="1"/>
  <c r="M14" i="97"/>
  <c r="P1623" i="94" s="1"/>
  <c r="P1681" i="94"/>
  <c r="P78" i="97"/>
  <c r="P14" i="97" s="1"/>
  <c r="L1681" i="94"/>
  <c r="I14" i="97"/>
  <c r="L1623" i="94" s="1"/>
  <c r="L14" i="97"/>
  <c r="O1623" i="94" s="1"/>
  <c r="O1681" i="94"/>
  <c r="H1623" i="94"/>
  <c r="K14" i="97"/>
  <c r="N1623" i="94" s="1"/>
  <c r="N1681" i="94"/>
  <c r="G14" i="97"/>
  <c r="J1623" i="94" s="1"/>
  <c r="J168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E1711" i="94" l="1"/>
  <c r="S1710" i="94"/>
  <c r="U1710" i="94" s="1"/>
  <c r="T14" i="97"/>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NJ13" i="84" l="1"/>
  <c r="O41" i="84"/>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J138" i="12" l="1"/>
  <c r="EH138" i="84" s="1"/>
  <c r="B28" i="97"/>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H18" i="84"/>
  <c r="HG18" i="84"/>
  <c r="HF18" i="84"/>
  <c r="HE18" i="84"/>
  <c r="HD18" i="84"/>
  <c r="HC18" i="84"/>
  <c r="HB18" i="84"/>
  <c r="HA18" i="84"/>
  <c r="GZ18" i="84"/>
  <c r="GY18" i="84"/>
  <c r="GX18" i="84"/>
  <c r="GW18" i="84"/>
  <c r="GV18" i="84"/>
  <c r="HM17" i="84"/>
  <c r="HK17" i="84"/>
  <c r="HJ17" i="84"/>
  <c r="HH17" i="84"/>
  <c r="HG17" i="84"/>
  <c r="HF17" i="84"/>
  <c r="HE17" i="84"/>
  <c r="HD17" i="84"/>
  <c r="HC17" i="84"/>
  <c r="HB17" i="84"/>
  <c r="HA17" i="84"/>
  <c r="GZ17" i="84"/>
  <c r="GY17" i="84"/>
  <c r="GX17" i="84"/>
  <c r="GW17" i="84"/>
  <c r="GV17" i="84"/>
  <c r="GU17" i="84"/>
  <c r="GU18" i="84"/>
  <c r="GT17" i="84"/>
  <c r="GT18" i="84"/>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M76" i="92"/>
  <c r="L76" i="92"/>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Q76" i="84" l="1"/>
  <c r="DR76" i="84"/>
  <c r="DS76" i="84"/>
  <c r="DP33" i="84"/>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K450" i="94"/>
  <c r="R450" i="94"/>
  <c r="O450" i="94"/>
  <c r="C31" i="86"/>
  <c r="BZ31" i="84" s="1"/>
  <c r="P452" i="94" l="1"/>
  <c r="B60" i="97"/>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P38" i="84" s="1"/>
  <c r="S71" i="94" s="1"/>
  <c r="U71" i="94" s="1"/>
  <c r="B67" i="97"/>
  <c r="D1675" i="94"/>
  <c r="W27" i="84"/>
  <c r="D37" i="69"/>
  <c r="P37" i="84" s="1"/>
  <c r="S70" i="94" s="1"/>
  <c r="U70" i="94" s="1"/>
  <c r="A71" i="91"/>
  <c r="D1403" i="94" s="1"/>
  <c r="D1371" i="94"/>
  <c r="GT70" i="84"/>
  <c r="A106" i="8"/>
  <c r="D1150" i="94"/>
  <c r="D1181" i="94" s="1"/>
  <c r="D1212" i="94" s="1"/>
  <c r="D1243" i="94" s="1"/>
  <c r="D1274" i="94" s="1"/>
  <c r="D1305" i="94" s="1"/>
  <c r="GF105" i="84"/>
  <c r="D13" i="69"/>
  <c r="P13" i="84" s="1"/>
  <c r="O13" i="84"/>
  <c r="H38" i="69" l="1"/>
  <c r="B72" i="97"/>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21" i="16"/>
  <c r="Q7" i="16"/>
  <c r="Q15" i="16"/>
  <c r="Q14" i="16"/>
  <c r="Q22" i="16"/>
  <c r="Q13"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C3" i="92"/>
  <c r="C5" i="53"/>
  <c r="B85" i="97" l="1"/>
  <c r="D1689" i="94"/>
  <c r="A55" i="53"/>
  <c r="D378" i="94"/>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CO57" i="84" s="1"/>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L19" i="92"/>
  <c r="K19" i="92"/>
  <c r="J19" i="92"/>
  <c r="I19" i="92"/>
  <c r="H19" i="92"/>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X52" i="84"/>
  <c r="H42" i="94" s="1"/>
  <c r="AB52" i="84"/>
  <c r="L42" i="94" s="1"/>
  <c r="AG52" i="84"/>
  <c r="Q42" i="94" s="1"/>
  <c r="O28" i="84"/>
  <c r="W34" i="69"/>
  <c r="AJ34" i="84" s="1"/>
  <c r="D396" i="94" l="1"/>
  <c r="A15" i="92"/>
  <c r="DF15" i="84" s="1"/>
  <c r="S1769" i="94"/>
  <c r="U1769" i="94" s="1"/>
  <c r="Y19" i="97"/>
  <c r="B93" i="97"/>
  <c r="D1697" i="94"/>
  <c r="DU159" i="84"/>
  <c r="S513" i="94"/>
  <c r="U513" i="94" s="1"/>
  <c r="A63" i="53"/>
  <c r="A65" i="53" s="1"/>
  <c r="D386" i="94"/>
  <c r="CO62" i="84"/>
  <c r="AH52" i="84"/>
  <c r="R42" i="94" s="1"/>
  <c r="AE52" i="84"/>
  <c r="O42" i="94" s="1"/>
  <c r="D397" i="94" l="1"/>
  <c r="A16" i="92"/>
  <c r="DF16" i="84" s="1"/>
  <c r="B94" i="97"/>
  <c r="D1698" i="94"/>
  <c r="D387" i="94"/>
  <c r="CO63" i="84"/>
  <c r="P28" i="84"/>
  <c r="W52" i="69"/>
  <c r="C52" i="69" s="1"/>
  <c r="A17" i="92" l="1"/>
  <c r="DF17" i="84" s="1"/>
  <c r="D398" i="94"/>
  <c r="B95" i="97"/>
  <c r="D1699" i="94"/>
  <c r="D388" i="94"/>
  <c r="CO64" i="84"/>
  <c r="D399" i="94" l="1"/>
  <c r="A18" i="92"/>
  <c r="DF18" i="84" s="1"/>
  <c r="B96" i="97"/>
  <c r="D1700" i="94"/>
  <c r="D389" i="94"/>
  <c r="CO65" i="84"/>
  <c r="A6" i="6"/>
  <c r="AE18" i="89"/>
  <c r="AE17" i="89"/>
  <c r="AE16" i="89"/>
  <c r="AE14" i="89"/>
  <c r="AE11" i="89"/>
  <c r="AE10" i="89"/>
  <c r="AF19" i="89"/>
  <c r="A19" i="92" l="1"/>
  <c r="DF19" i="84" s="1"/>
  <c r="D400" i="94"/>
  <c r="B97" i="97"/>
  <c r="D1701" i="94"/>
  <c r="W26" i="78"/>
  <c r="JD6" i="84"/>
  <c r="AE8" i="89"/>
  <c r="D401" i="94" l="1"/>
  <c r="A20" i="92"/>
  <c r="DF20" i="84" s="1"/>
  <c r="B98" i="97"/>
  <c r="D1702" i="94"/>
  <c r="A21" i="92" l="1"/>
  <c r="DF21" i="84" s="1"/>
  <c r="D402" i="94"/>
  <c r="B99" i="97"/>
  <c r="D1703" i="94"/>
  <c r="A22" i="92" l="1"/>
  <c r="DF22" i="84" s="1"/>
  <c r="D403" i="94"/>
  <c r="D514" i="94" s="1"/>
  <c r="B100" i="97"/>
  <c r="D1705" i="94" s="1"/>
  <c r="D1704" i="94"/>
  <c r="D404" i="94" l="1"/>
  <c r="D515" i="94" s="1"/>
  <c r="A23" i="92"/>
  <c r="DF23" i="84" s="1"/>
  <c r="A24" i="92" l="1"/>
  <c r="DF24" i="84" s="1"/>
  <c r="D405" i="94"/>
  <c r="D516" i="94" s="1"/>
  <c r="D406" i="94"/>
  <c r="D517" i="94" s="1"/>
  <c r="A25" i="92" l="1"/>
  <c r="DF25" i="84" l="1"/>
  <c r="A26" i="92"/>
  <c r="D407" i="94"/>
  <c r="D518" i="94" s="1"/>
  <c r="DF26" i="84" l="1"/>
  <c r="A27" i="92"/>
  <c r="D408" i="94"/>
  <c r="D519" i="94" s="1"/>
  <c r="DF27" i="84" l="1"/>
  <c r="A28" i="92"/>
  <c r="D409" i="94"/>
  <c r="D520" i="94" s="1"/>
  <c r="DF28" i="84" l="1"/>
  <c r="A29" i="92"/>
  <c r="D410" i="94"/>
  <c r="D521" i="94" s="1"/>
  <c r="DF29" i="84" l="1"/>
  <c r="A30" i="92"/>
  <c r="D411" i="94"/>
  <c r="D522" i="94" s="1"/>
  <c r="DF30" i="84" l="1"/>
  <c r="A31" i="92"/>
  <c r="D412" i="94"/>
  <c r="D523" i="9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DF31" i="84" l="1"/>
  <c r="A32" i="92"/>
  <c r="D413" i="94"/>
  <c r="D524"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F32" i="84" l="1"/>
  <c r="D414" i="94"/>
  <c r="D525" i="94" s="1"/>
  <c r="A33" i="92"/>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F33" i="84" l="1"/>
  <c r="A34" i="92"/>
  <c r="D415" i="94"/>
  <c r="D526" i="94" s="1"/>
  <c r="AC76" i="5"/>
  <c r="Z21" i="5" s="1"/>
  <c r="AA21" i="5" s="1"/>
  <c r="R78" i="5"/>
  <c r="KH78" i="84" s="1"/>
  <c r="AG2" i="78"/>
  <c r="AG3" i="78"/>
  <c r="AG4" i="78"/>
  <c r="AG5" i="78"/>
  <c r="AG6" i="78"/>
  <c r="AG7" i="78"/>
  <c r="AG8" i="78"/>
  <c r="AG9" i="78"/>
  <c r="AG10" i="78"/>
  <c r="AG11" i="78"/>
  <c r="AG12" i="78"/>
  <c r="AG1" i="78"/>
  <c r="DF34" i="84" l="1"/>
  <c r="D416" i="94"/>
  <c r="D527" i="94" s="1"/>
  <c r="A36" i="92"/>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DF36" i="84" l="1"/>
  <c r="D417" i="94"/>
  <c r="A37" i="92"/>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DF37" i="84" l="1"/>
  <c r="A52" i="92"/>
  <c r="DF52" i="84" s="1"/>
  <c r="A41" i="92"/>
  <c r="D418" i="94"/>
  <c r="F21" i="9"/>
  <c r="F22" i="9"/>
  <c r="F23" i="9"/>
  <c r="F24" i="9"/>
  <c r="F25" i="9"/>
  <c r="F26" i="9"/>
  <c r="F27" i="9"/>
  <c r="F28" i="9"/>
  <c r="F29" i="9"/>
  <c r="F30" i="9"/>
  <c r="F31" i="9"/>
  <c r="F32" i="9"/>
  <c r="F33" i="9"/>
  <c r="F36" i="9"/>
  <c r="F38" i="9"/>
  <c r="F39" i="9"/>
  <c r="F41" i="9"/>
  <c r="F42" i="9"/>
  <c r="F20" i="9"/>
  <c r="D419" i="94" l="1"/>
  <c r="A42" i="92"/>
  <c r="DF41" i="84"/>
  <c r="F59" i="3"/>
  <c r="G4" i="3"/>
  <c r="D420" i="94" l="1"/>
  <c r="A43" i="92"/>
  <c r="DF42" i="84"/>
  <c r="D421" i="94" l="1"/>
  <c r="A44" i="92"/>
  <c r="DF43" i="84"/>
  <c r="D422" i="94" l="1"/>
  <c r="A45" i="92"/>
  <c r="DF44" i="84"/>
  <c r="D423" i="94" l="1"/>
  <c r="A47" i="92"/>
  <c r="DF45" i="84"/>
  <c r="G9" i="9"/>
  <c r="G8" i="9"/>
  <c r="G13" i="9"/>
  <c r="G14" i="9"/>
  <c r="G15" i="9"/>
  <c r="G16" i="9"/>
  <c r="G17" i="9"/>
  <c r="G18" i="9"/>
  <c r="G19" i="9"/>
  <c r="G20" i="9"/>
  <c r="G21" i="9"/>
  <c r="G22" i="9"/>
  <c r="G23" i="9"/>
  <c r="G24" i="9"/>
  <c r="G25" i="9"/>
  <c r="G26" i="9"/>
  <c r="G27" i="9"/>
  <c r="G28" i="9"/>
  <c r="G29" i="9"/>
  <c r="G30" i="9"/>
  <c r="G31" i="9"/>
  <c r="G32" i="9"/>
  <c r="G33" i="9"/>
  <c r="G38" i="9"/>
  <c r="G39" i="9"/>
  <c r="G41" i="9"/>
  <c r="G42" i="9"/>
  <c r="G36" i="9"/>
  <c r="DF47" i="84" l="1"/>
  <c r="D424" i="94"/>
  <c r="J115" i="6"/>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W32" i="91"/>
  <c r="W19" i="91"/>
  <c r="W26" i="91"/>
  <c r="W34" i="91"/>
  <c r="W42" i="91"/>
  <c r="W28" i="91"/>
  <c r="W3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HL22" i="84"/>
  <c r="W20" i="9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I22" i="69"/>
  <c r="U22" i="84" s="1"/>
  <c r="D54" i="94"/>
  <c r="D94" i="94"/>
  <c r="D134" i="94"/>
  <c r="D12" i="94"/>
  <c r="G10" i="90"/>
  <c r="LI1" i="84"/>
  <c r="A10" i="3"/>
  <c r="HO9" i="84"/>
  <c r="LG31" i="84" l="1"/>
  <c r="C36" i="90"/>
  <c r="LG36" i="84" s="1"/>
  <c r="AZ45" i="84"/>
  <c r="D267" i="94" s="1"/>
  <c r="A47" i="9"/>
  <c r="C20" i="60"/>
  <c r="MJ19" i="84"/>
  <c r="A16" i="10"/>
  <c r="HV15" i="84"/>
  <c r="D274" i="94"/>
  <c r="BE14" i="84"/>
  <c r="D273" i="94"/>
  <c r="BE13" i="84"/>
  <c r="A24" i="69"/>
  <c r="M23" i="84"/>
  <c r="A71" i="92"/>
  <c r="DF71" i="84" s="1"/>
  <c r="D443" i="94"/>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EE83" i="84" s="1"/>
  <c r="J570" i="94" s="1"/>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ED84" i="84" s="1"/>
  <c r="I571" i="94" s="1"/>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L84" i="84"/>
  <c r="Q571" i="94" s="1"/>
  <c r="EI83" i="84"/>
  <c r="N570" i="94" s="1"/>
  <c r="EH83" i="84"/>
  <c r="M570" i="94" s="1"/>
  <c r="EC83" i="84"/>
  <c r="H570"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J54" i="89" s="1"/>
  <c r="BO54" i="89"/>
  <c r="I58" i="89"/>
  <c r="BO58" i="89"/>
  <c r="I62" i="89"/>
  <c r="BO62" i="89"/>
  <c r="I66" i="89"/>
  <c r="BJ66" i="89" s="1"/>
  <c r="BO66" i="89"/>
  <c r="I70" i="89"/>
  <c r="BJ70" i="89" s="1"/>
  <c r="BO70" i="89"/>
  <c r="I74" i="89"/>
  <c r="BO74" i="89"/>
  <c r="I78" i="89"/>
  <c r="BO78" i="89"/>
  <c r="I82" i="89"/>
  <c r="BJ82" i="89" s="1"/>
  <c r="BO82" i="89"/>
  <c r="I86" i="89"/>
  <c r="BJ86" i="89" s="1"/>
  <c r="BO86" i="89"/>
  <c r="I90" i="89"/>
  <c r="BO90" i="89"/>
  <c r="I94" i="89"/>
  <c r="BO94" i="89"/>
  <c r="I98" i="89"/>
  <c r="BJ98" i="89" s="1"/>
  <c r="BO98" i="89"/>
  <c r="I102" i="89"/>
  <c r="BJ102" i="89" s="1"/>
  <c r="BO102" i="89"/>
  <c r="I106" i="89"/>
  <c r="BO106" i="89"/>
  <c r="I110" i="89"/>
  <c r="BO110" i="89"/>
  <c r="I114" i="89"/>
  <c r="BJ114" i="89" s="1"/>
  <c r="BO114" i="89"/>
  <c r="I118" i="89"/>
  <c r="BJ118" i="89" s="1"/>
  <c r="BO118" i="89"/>
  <c r="I122" i="89"/>
  <c r="BO122" i="89"/>
  <c r="I126" i="89"/>
  <c r="BO126" i="89"/>
  <c r="I130" i="89"/>
  <c r="BJ130" i="89" s="1"/>
  <c r="BO130" i="89"/>
  <c r="I134" i="89"/>
  <c r="BJ134" i="89" s="1"/>
  <c r="BO134" i="89"/>
  <c r="I138" i="89"/>
  <c r="BO138" i="89"/>
  <c r="I142" i="89"/>
  <c r="BO142" i="89"/>
  <c r="I146" i="89"/>
  <c r="BJ146" i="89" s="1"/>
  <c r="BO146" i="89"/>
  <c r="I150" i="89"/>
  <c r="BJ150" i="89" s="1"/>
  <c r="BO150" i="89"/>
  <c r="I154" i="89"/>
  <c r="BO154" i="89"/>
  <c r="I158" i="89"/>
  <c r="BO158" i="89"/>
  <c r="I162" i="89"/>
  <c r="BJ162" i="89" s="1"/>
  <c r="BO162" i="89"/>
  <c r="I166" i="89"/>
  <c r="BJ166" i="89" s="1"/>
  <c r="BO166" i="89"/>
  <c r="I170" i="89"/>
  <c r="BO170" i="89"/>
  <c r="I174" i="89"/>
  <c r="BO174" i="89"/>
  <c r="I178" i="89"/>
  <c r="BJ178" i="89" s="1"/>
  <c r="BO178" i="89"/>
  <c r="I182" i="89"/>
  <c r="BJ182" i="89" s="1"/>
  <c r="BO182" i="89"/>
  <c r="I186" i="89"/>
  <c r="BO186" i="89"/>
  <c r="I190" i="89"/>
  <c r="BO190" i="89"/>
  <c r="I194" i="89"/>
  <c r="BJ194" i="89" s="1"/>
  <c r="BO194" i="89"/>
  <c r="I198" i="89"/>
  <c r="BJ198" i="89" s="1"/>
  <c r="BO198" i="89"/>
  <c r="I202" i="89"/>
  <c r="BO202" i="89"/>
  <c r="I206" i="89"/>
  <c r="BO206" i="89"/>
  <c r="I210" i="89"/>
  <c r="BJ210" i="89" s="1"/>
  <c r="BO210" i="89"/>
  <c r="I214" i="89"/>
  <c r="BJ214" i="89" s="1"/>
  <c r="BO214" i="89"/>
  <c r="I218" i="89"/>
  <c r="BO218" i="89"/>
  <c r="I222" i="89"/>
  <c r="BO222" i="89"/>
  <c r="I226" i="89"/>
  <c r="BJ226" i="89" s="1"/>
  <c r="BO226" i="89"/>
  <c r="I230" i="89"/>
  <c r="BJ230" i="89" s="1"/>
  <c r="BO230" i="89"/>
  <c r="I234" i="89"/>
  <c r="BO234" i="89"/>
  <c r="I238" i="89"/>
  <c r="BO238" i="89"/>
  <c r="I242" i="89"/>
  <c r="BJ242" i="89" s="1"/>
  <c r="BO242" i="89"/>
  <c r="I246" i="89"/>
  <c r="BJ246" i="89" s="1"/>
  <c r="BO246" i="89"/>
  <c r="I250" i="89"/>
  <c r="BO250" i="89"/>
  <c r="I254" i="89"/>
  <c r="BO254" i="89"/>
  <c r="I258" i="89"/>
  <c r="BJ258" i="89" s="1"/>
  <c r="BO258" i="89"/>
  <c r="I262" i="89"/>
  <c r="BJ262" i="89" s="1"/>
  <c r="BO262" i="89"/>
  <c r="I266" i="89"/>
  <c r="BO266" i="89"/>
  <c r="I270" i="89"/>
  <c r="BO270" i="89"/>
  <c r="I274" i="89"/>
  <c r="BJ274" i="89" s="1"/>
  <c r="BO274" i="89"/>
  <c r="I278" i="89"/>
  <c r="BJ278" i="89" s="1"/>
  <c r="BO278" i="89"/>
  <c r="I282" i="89"/>
  <c r="BO282" i="89"/>
  <c r="I286" i="89"/>
  <c r="BO286" i="89"/>
  <c r="I290" i="89"/>
  <c r="BJ290" i="89" s="1"/>
  <c r="BO290" i="89"/>
  <c r="I294" i="89"/>
  <c r="BJ294" i="89" s="1"/>
  <c r="BO294" i="89"/>
  <c r="I298" i="89"/>
  <c r="BO298" i="89"/>
  <c r="I302" i="89"/>
  <c r="BO302" i="89"/>
  <c r="I306" i="89"/>
  <c r="BJ306" i="89" s="1"/>
  <c r="BO306" i="89"/>
  <c r="I310" i="89"/>
  <c r="BJ310" i="89" s="1"/>
  <c r="BO310" i="89"/>
  <c r="I314" i="89"/>
  <c r="BO314" i="89"/>
  <c r="I318" i="89"/>
  <c r="BO318" i="89"/>
  <c r="I322" i="89"/>
  <c r="BJ322" i="89" s="1"/>
  <c r="BO322" i="89"/>
  <c r="I326" i="89"/>
  <c r="BJ326" i="89" s="1"/>
  <c r="BO326" i="89"/>
  <c r="I330" i="89"/>
  <c r="BO330" i="89"/>
  <c r="I334" i="89"/>
  <c r="BO334" i="89"/>
  <c r="I338" i="89"/>
  <c r="BJ338" i="89" s="1"/>
  <c r="BO338" i="89"/>
  <c r="I342" i="89"/>
  <c r="BJ342" i="89" s="1"/>
  <c r="BO342" i="89"/>
  <c r="I346" i="89"/>
  <c r="BO346" i="89"/>
  <c r="I350" i="89"/>
  <c r="BO350" i="89"/>
  <c r="I354" i="89"/>
  <c r="BJ354" i="89" s="1"/>
  <c r="BO354" i="89"/>
  <c r="I358" i="89"/>
  <c r="BJ358" i="89" s="1"/>
  <c r="BO358" i="89"/>
  <c r="I362" i="89"/>
  <c r="BO362" i="89"/>
  <c r="I366" i="89"/>
  <c r="BO366" i="89"/>
  <c r="I370" i="89"/>
  <c r="BJ370" i="89" s="1"/>
  <c r="BO370" i="89"/>
  <c r="I374" i="89"/>
  <c r="BJ374" i="89" s="1"/>
  <c r="BO374" i="89"/>
  <c r="I378" i="89"/>
  <c r="BO378" i="89"/>
  <c r="I382" i="89"/>
  <c r="BO382" i="89"/>
  <c r="I386" i="89"/>
  <c r="BJ386" i="89" s="1"/>
  <c r="BO386" i="89"/>
  <c r="I390" i="89"/>
  <c r="BJ390" i="89" s="1"/>
  <c r="BO390" i="89"/>
  <c r="I394" i="89"/>
  <c r="BO394" i="89"/>
  <c r="I398" i="89"/>
  <c r="BO398" i="89"/>
  <c r="I402" i="89"/>
  <c r="BJ402" i="89" s="1"/>
  <c r="BO402" i="89"/>
  <c r="I406" i="89"/>
  <c r="BJ406" i="89" s="1"/>
  <c r="BO406" i="89"/>
  <c r="I410" i="89"/>
  <c r="BO410" i="89"/>
  <c r="I414" i="89"/>
  <c r="BO414" i="89"/>
  <c r="I418" i="89"/>
  <c r="BJ418" i="89" s="1"/>
  <c r="BO418" i="89"/>
  <c r="I422" i="89"/>
  <c r="BJ422" i="89" s="1"/>
  <c r="BO422" i="89"/>
  <c r="I426" i="89"/>
  <c r="BO426" i="89"/>
  <c r="I430" i="89"/>
  <c r="BO430" i="89"/>
  <c r="I434" i="89"/>
  <c r="BJ434" i="89" s="1"/>
  <c r="BO434" i="89"/>
  <c r="I438" i="89"/>
  <c r="BJ438" i="89" s="1"/>
  <c r="BO438" i="89"/>
  <c r="I442" i="89"/>
  <c r="BO442" i="89"/>
  <c r="I446" i="89"/>
  <c r="BO446" i="89"/>
  <c r="I450" i="89"/>
  <c r="BJ450" i="89" s="1"/>
  <c r="BO450" i="89"/>
  <c r="I454" i="89"/>
  <c r="BJ454" i="89" s="1"/>
  <c r="BO454" i="89"/>
  <c r="I458" i="89"/>
  <c r="BO458" i="89"/>
  <c r="I462" i="89"/>
  <c r="BO462" i="89"/>
  <c r="I466" i="89"/>
  <c r="BJ466" i="89" s="1"/>
  <c r="BO466" i="89"/>
  <c r="I470" i="89"/>
  <c r="BJ470" i="89" s="1"/>
  <c r="BO470" i="89"/>
  <c r="I474" i="89"/>
  <c r="BO474" i="89"/>
  <c r="I478" i="89"/>
  <c r="BO478" i="89"/>
  <c r="I482" i="89"/>
  <c r="BJ482" i="89" s="1"/>
  <c r="BO482" i="89"/>
  <c r="I53" i="89"/>
  <c r="BJ53" i="89" s="1"/>
  <c r="BO53" i="89"/>
  <c r="I57" i="89"/>
  <c r="BO57" i="89"/>
  <c r="I61" i="89"/>
  <c r="BO61" i="89"/>
  <c r="I65" i="89"/>
  <c r="BJ65" i="89" s="1"/>
  <c r="BO65" i="89"/>
  <c r="I69" i="89"/>
  <c r="BJ69" i="89" s="1"/>
  <c r="BO69" i="89"/>
  <c r="I73" i="89"/>
  <c r="BO73" i="89"/>
  <c r="I77" i="89"/>
  <c r="BO77" i="89"/>
  <c r="I81" i="89"/>
  <c r="BJ81" i="89" s="1"/>
  <c r="BO81" i="89"/>
  <c r="I85" i="89"/>
  <c r="BJ85" i="89" s="1"/>
  <c r="BO85" i="89"/>
  <c r="I89" i="89"/>
  <c r="BO89" i="89"/>
  <c r="I93" i="89"/>
  <c r="BO93" i="89"/>
  <c r="I97" i="89"/>
  <c r="BJ97" i="89" s="1"/>
  <c r="BO97" i="89"/>
  <c r="I101" i="89"/>
  <c r="BJ101" i="89" s="1"/>
  <c r="BO101" i="89"/>
  <c r="I105" i="89"/>
  <c r="BO105" i="89"/>
  <c r="I109" i="89"/>
  <c r="BO109" i="89"/>
  <c r="I113" i="89"/>
  <c r="BJ113" i="89" s="1"/>
  <c r="BO113" i="89"/>
  <c r="I117" i="89"/>
  <c r="BJ117" i="89" s="1"/>
  <c r="BO117" i="89"/>
  <c r="I121" i="89"/>
  <c r="BO121" i="89"/>
  <c r="I125" i="89"/>
  <c r="BO125" i="89"/>
  <c r="I129" i="89"/>
  <c r="BJ129" i="89" s="1"/>
  <c r="BO129" i="89"/>
  <c r="I133" i="89"/>
  <c r="BJ133" i="89" s="1"/>
  <c r="BO133" i="89"/>
  <c r="I137" i="89"/>
  <c r="BO137" i="89"/>
  <c r="I141" i="89"/>
  <c r="BO141" i="89"/>
  <c r="I145" i="89"/>
  <c r="BJ145" i="89" s="1"/>
  <c r="BO145" i="89"/>
  <c r="I149" i="89"/>
  <c r="BJ149" i="89" s="1"/>
  <c r="BO149" i="89"/>
  <c r="I153" i="89"/>
  <c r="BO153" i="89"/>
  <c r="I157" i="89"/>
  <c r="BO157" i="89"/>
  <c r="I161" i="89"/>
  <c r="BJ161" i="89" s="1"/>
  <c r="BO161" i="89"/>
  <c r="I165" i="89"/>
  <c r="BJ165" i="89" s="1"/>
  <c r="BO165" i="89"/>
  <c r="I169" i="89"/>
  <c r="BO169" i="89"/>
  <c r="I173" i="89"/>
  <c r="BO173" i="89"/>
  <c r="I177" i="89"/>
  <c r="BJ177" i="89" s="1"/>
  <c r="BO177" i="89"/>
  <c r="I181" i="89"/>
  <c r="BJ181" i="89" s="1"/>
  <c r="BO181" i="89"/>
  <c r="I185" i="89"/>
  <c r="BO185" i="89"/>
  <c r="I189" i="89"/>
  <c r="BO189" i="89"/>
  <c r="I193" i="89"/>
  <c r="BJ193" i="89" s="1"/>
  <c r="BO193" i="89"/>
  <c r="I197" i="89"/>
  <c r="BJ197" i="89" s="1"/>
  <c r="BO197" i="89"/>
  <c r="I201" i="89"/>
  <c r="BO201" i="89"/>
  <c r="I205" i="89"/>
  <c r="BO205" i="89"/>
  <c r="I209" i="89"/>
  <c r="BJ209" i="89" s="1"/>
  <c r="BO209" i="89"/>
  <c r="I213" i="89"/>
  <c r="BJ213" i="89" s="1"/>
  <c r="BO213" i="89"/>
  <c r="I217" i="89"/>
  <c r="BO217" i="89"/>
  <c r="I221" i="89"/>
  <c r="BO221" i="89"/>
  <c r="I225" i="89"/>
  <c r="BJ225" i="89" s="1"/>
  <c r="BO225" i="89"/>
  <c r="I229" i="89"/>
  <c r="BJ229" i="89" s="1"/>
  <c r="BO229" i="89"/>
  <c r="I233" i="89"/>
  <c r="BO233" i="89"/>
  <c r="I237" i="89"/>
  <c r="BO237" i="89"/>
  <c r="I241" i="89"/>
  <c r="BJ241" i="89" s="1"/>
  <c r="BO241" i="89"/>
  <c r="I245" i="89"/>
  <c r="BJ245" i="89" s="1"/>
  <c r="BO245" i="89"/>
  <c r="I249" i="89"/>
  <c r="BO249" i="89"/>
  <c r="I253" i="89"/>
  <c r="BO253" i="89"/>
  <c r="I257" i="89"/>
  <c r="BJ257" i="89" s="1"/>
  <c r="BO257" i="89"/>
  <c r="I261" i="89"/>
  <c r="BJ261" i="89" s="1"/>
  <c r="BO261" i="89"/>
  <c r="I265" i="89"/>
  <c r="BO265" i="89"/>
  <c r="I269" i="89"/>
  <c r="BO269" i="89"/>
  <c r="I273" i="89"/>
  <c r="BJ273" i="89" s="1"/>
  <c r="BO273" i="89"/>
  <c r="I277" i="89"/>
  <c r="BJ277" i="89" s="1"/>
  <c r="BO277" i="89"/>
  <c r="I281" i="89"/>
  <c r="BO281" i="89"/>
  <c r="I285" i="89"/>
  <c r="BO285" i="89"/>
  <c r="I289" i="89"/>
  <c r="BJ289" i="89" s="1"/>
  <c r="BO289" i="89"/>
  <c r="I293" i="89"/>
  <c r="BJ293" i="89" s="1"/>
  <c r="BO293" i="89"/>
  <c r="I297" i="89"/>
  <c r="BO297" i="89"/>
  <c r="I301" i="89"/>
  <c r="BO301" i="89"/>
  <c r="I305" i="89"/>
  <c r="BJ305" i="89" s="1"/>
  <c r="BO305" i="89"/>
  <c r="I309" i="89"/>
  <c r="BJ309" i="89" s="1"/>
  <c r="BO309" i="89"/>
  <c r="I313" i="89"/>
  <c r="BO313" i="89"/>
  <c r="I317" i="89"/>
  <c r="BO317" i="89"/>
  <c r="I321" i="89"/>
  <c r="BJ321" i="89" s="1"/>
  <c r="BO321" i="89"/>
  <c r="I325" i="89"/>
  <c r="BJ325" i="89" s="1"/>
  <c r="BO325" i="89"/>
  <c r="I329" i="89"/>
  <c r="BO329" i="89"/>
  <c r="I333" i="89"/>
  <c r="BO333" i="89"/>
  <c r="I337" i="89"/>
  <c r="BJ337" i="89" s="1"/>
  <c r="BO337" i="89"/>
  <c r="I341" i="89"/>
  <c r="BJ341" i="89" s="1"/>
  <c r="BO341" i="89"/>
  <c r="I345" i="89"/>
  <c r="BO345" i="89"/>
  <c r="I349" i="89"/>
  <c r="BO349" i="89"/>
  <c r="I353" i="89"/>
  <c r="BJ353" i="89" s="1"/>
  <c r="BO353" i="89"/>
  <c r="I357" i="89"/>
  <c r="BJ357" i="89" s="1"/>
  <c r="BO357" i="89"/>
  <c r="I361" i="89"/>
  <c r="BO361" i="89"/>
  <c r="I365" i="89"/>
  <c r="BO365" i="89"/>
  <c r="I369" i="89"/>
  <c r="BJ369" i="89" s="1"/>
  <c r="BO369" i="89"/>
  <c r="I373" i="89"/>
  <c r="BJ373" i="89" s="1"/>
  <c r="BO373" i="89"/>
  <c r="I377" i="89"/>
  <c r="BO377" i="89"/>
  <c r="I381" i="89"/>
  <c r="BO381" i="89"/>
  <c r="I385" i="89"/>
  <c r="BJ385" i="89" s="1"/>
  <c r="BO385" i="89"/>
  <c r="I389" i="89"/>
  <c r="BJ389" i="89" s="1"/>
  <c r="BO389" i="89"/>
  <c r="I393" i="89"/>
  <c r="BO393" i="89"/>
  <c r="I397" i="89"/>
  <c r="BO397" i="89"/>
  <c r="I401" i="89"/>
  <c r="BJ401" i="89" s="1"/>
  <c r="BO401" i="89"/>
  <c r="I405" i="89"/>
  <c r="BJ405" i="89" s="1"/>
  <c r="BO405" i="89"/>
  <c r="I409" i="89"/>
  <c r="BO409" i="89"/>
  <c r="I413" i="89"/>
  <c r="BO413" i="89"/>
  <c r="I417" i="89"/>
  <c r="BJ417" i="89" s="1"/>
  <c r="BO417" i="89"/>
  <c r="I421" i="89"/>
  <c r="BJ421" i="89" s="1"/>
  <c r="BO421" i="89"/>
  <c r="I425" i="89"/>
  <c r="BO425" i="89"/>
  <c r="I429" i="89"/>
  <c r="BO429" i="89"/>
  <c r="I433" i="89"/>
  <c r="BJ433" i="89" s="1"/>
  <c r="BO433" i="89"/>
  <c r="I437" i="89"/>
  <c r="BJ437" i="89" s="1"/>
  <c r="BO437" i="89"/>
  <c r="I441" i="89"/>
  <c r="BO441" i="89"/>
  <c r="I445" i="89"/>
  <c r="BO445" i="89"/>
  <c r="I449" i="89"/>
  <c r="BJ449" i="89" s="1"/>
  <c r="BO449" i="89"/>
  <c r="I453" i="89"/>
  <c r="BJ453" i="89" s="1"/>
  <c r="BO453" i="89"/>
  <c r="I457" i="89"/>
  <c r="BO457" i="89"/>
  <c r="I461" i="89"/>
  <c r="BO461" i="89"/>
  <c r="I465" i="89"/>
  <c r="BJ465" i="89" s="1"/>
  <c r="BO465" i="89"/>
  <c r="I469" i="89"/>
  <c r="BJ469" i="89" s="1"/>
  <c r="BO469" i="89"/>
  <c r="I473" i="89"/>
  <c r="BO473" i="89"/>
  <c r="I477" i="89"/>
  <c r="BO477" i="89"/>
  <c r="I481" i="89"/>
  <c r="BJ481" i="89" s="1"/>
  <c r="BO481" i="89"/>
  <c r="I52" i="89"/>
  <c r="BJ52" i="89" s="1"/>
  <c r="BO52" i="89"/>
  <c r="I56" i="89"/>
  <c r="BO56" i="89"/>
  <c r="I60" i="89"/>
  <c r="BO60" i="89"/>
  <c r="I64" i="89"/>
  <c r="BJ64" i="89" s="1"/>
  <c r="BO64" i="89"/>
  <c r="I68" i="89"/>
  <c r="BO68" i="89"/>
  <c r="I72" i="89"/>
  <c r="BO72" i="89"/>
  <c r="I76" i="89"/>
  <c r="BO76" i="89"/>
  <c r="I80" i="89"/>
  <c r="BJ80" i="89" s="1"/>
  <c r="BO80" i="89"/>
  <c r="I84" i="89"/>
  <c r="BJ84" i="89" s="1"/>
  <c r="BO84" i="89"/>
  <c r="I88" i="89"/>
  <c r="BO88" i="89"/>
  <c r="I92" i="89"/>
  <c r="BO92" i="89"/>
  <c r="I96" i="89"/>
  <c r="BJ96" i="89" s="1"/>
  <c r="BO96" i="89"/>
  <c r="I100" i="89"/>
  <c r="BJ100" i="89" s="1"/>
  <c r="BO100" i="89"/>
  <c r="I104" i="89"/>
  <c r="BO104" i="89"/>
  <c r="I108" i="89"/>
  <c r="BO108" i="89"/>
  <c r="I112" i="89"/>
  <c r="BJ112" i="89" s="1"/>
  <c r="BO112" i="89"/>
  <c r="I116" i="89"/>
  <c r="BJ116" i="89" s="1"/>
  <c r="BO116" i="89"/>
  <c r="I120" i="89"/>
  <c r="BO120" i="89"/>
  <c r="I124" i="89"/>
  <c r="BO124" i="89"/>
  <c r="I128" i="89"/>
  <c r="BJ128" i="89" s="1"/>
  <c r="BO128" i="89"/>
  <c r="I132" i="89"/>
  <c r="BO132" i="89"/>
  <c r="I136" i="89"/>
  <c r="BO136" i="89"/>
  <c r="I140" i="89"/>
  <c r="BO140" i="89"/>
  <c r="I144" i="89"/>
  <c r="BJ144" i="89" s="1"/>
  <c r="BO144" i="89"/>
  <c r="I148" i="89"/>
  <c r="BJ148" i="89" s="1"/>
  <c r="BO148" i="89"/>
  <c r="I152" i="89"/>
  <c r="BO152" i="89"/>
  <c r="I156" i="89"/>
  <c r="BO156" i="89"/>
  <c r="I160" i="89"/>
  <c r="BJ160" i="89" s="1"/>
  <c r="BO160" i="89"/>
  <c r="I164" i="89"/>
  <c r="BJ164" i="89" s="1"/>
  <c r="BO164" i="89"/>
  <c r="I168" i="89"/>
  <c r="BO168" i="89"/>
  <c r="I172" i="89"/>
  <c r="BO172" i="89"/>
  <c r="I176" i="89"/>
  <c r="BJ176" i="89" s="1"/>
  <c r="BO176" i="89"/>
  <c r="I180" i="89"/>
  <c r="BJ180" i="89" s="1"/>
  <c r="BO180" i="89"/>
  <c r="I184" i="89"/>
  <c r="BO184" i="89"/>
  <c r="I188" i="89"/>
  <c r="BO188" i="89"/>
  <c r="I192" i="89"/>
  <c r="BJ192" i="89" s="1"/>
  <c r="BO192" i="89"/>
  <c r="I196" i="89"/>
  <c r="BO196" i="89"/>
  <c r="I200" i="89"/>
  <c r="BO200" i="89"/>
  <c r="I204" i="89"/>
  <c r="BO204" i="89"/>
  <c r="I208" i="89"/>
  <c r="BJ208" i="89" s="1"/>
  <c r="BO208" i="89"/>
  <c r="I212" i="89"/>
  <c r="BJ212" i="89" s="1"/>
  <c r="BO212" i="89"/>
  <c r="I216" i="89"/>
  <c r="BO216" i="89"/>
  <c r="I220" i="89"/>
  <c r="BO220" i="89"/>
  <c r="I224" i="89"/>
  <c r="BJ224" i="89" s="1"/>
  <c r="BO224" i="89"/>
  <c r="I228" i="89"/>
  <c r="BJ228" i="89" s="1"/>
  <c r="BO228" i="89"/>
  <c r="I232" i="89"/>
  <c r="BO232" i="89"/>
  <c r="I236" i="89"/>
  <c r="BO236" i="89"/>
  <c r="I240" i="89"/>
  <c r="BJ240" i="89" s="1"/>
  <c r="BO240" i="89"/>
  <c r="I244" i="89"/>
  <c r="BJ244" i="89" s="1"/>
  <c r="BO244" i="89"/>
  <c r="I248" i="89"/>
  <c r="BO248" i="89"/>
  <c r="I252" i="89"/>
  <c r="BO252" i="89"/>
  <c r="I256" i="89"/>
  <c r="BJ256" i="89" s="1"/>
  <c r="BO256" i="89"/>
  <c r="I260" i="89"/>
  <c r="BO260" i="89"/>
  <c r="I264" i="89"/>
  <c r="BO264" i="89"/>
  <c r="I268" i="89"/>
  <c r="BO268" i="89"/>
  <c r="I272" i="89"/>
  <c r="BJ272" i="89" s="1"/>
  <c r="BO272" i="89"/>
  <c r="I276" i="89"/>
  <c r="BJ276" i="89" s="1"/>
  <c r="BO276" i="89"/>
  <c r="I280" i="89"/>
  <c r="BO280" i="89"/>
  <c r="I284" i="89"/>
  <c r="BO284" i="89"/>
  <c r="I288" i="89"/>
  <c r="BJ288" i="89" s="1"/>
  <c r="BO288" i="89"/>
  <c r="I292" i="89"/>
  <c r="BJ292" i="89" s="1"/>
  <c r="BO292" i="89"/>
  <c r="I296" i="89"/>
  <c r="BO296" i="89"/>
  <c r="I300" i="89"/>
  <c r="BO300" i="89"/>
  <c r="I304" i="89"/>
  <c r="BJ304" i="89" s="1"/>
  <c r="BO304" i="89"/>
  <c r="I308" i="89"/>
  <c r="BJ308" i="89" s="1"/>
  <c r="BO308" i="89"/>
  <c r="I312" i="89"/>
  <c r="BO312" i="89"/>
  <c r="I316" i="89"/>
  <c r="BO316" i="89"/>
  <c r="I320" i="89"/>
  <c r="BJ320" i="89" s="1"/>
  <c r="BO320" i="89"/>
  <c r="I324" i="89"/>
  <c r="BO324" i="89"/>
  <c r="I328" i="89"/>
  <c r="BO328" i="89"/>
  <c r="I332" i="89"/>
  <c r="BO332" i="89"/>
  <c r="I336" i="89"/>
  <c r="BJ336" i="89" s="1"/>
  <c r="BO336" i="89"/>
  <c r="I340" i="89"/>
  <c r="BJ340" i="89" s="1"/>
  <c r="BO340" i="89"/>
  <c r="I344" i="89"/>
  <c r="BO344" i="89"/>
  <c r="I348" i="89"/>
  <c r="BO348" i="89"/>
  <c r="I352" i="89"/>
  <c r="BJ352" i="89" s="1"/>
  <c r="BO352" i="89"/>
  <c r="I356" i="89"/>
  <c r="BJ356" i="89" s="1"/>
  <c r="BO356" i="89"/>
  <c r="I360" i="89"/>
  <c r="BO360" i="89"/>
  <c r="I364" i="89"/>
  <c r="BO364" i="89"/>
  <c r="I368" i="89"/>
  <c r="BJ368" i="89" s="1"/>
  <c r="BO368" i="89"/>
  <c r="I372" i="89"/>
  <c r="BJ372" i="89" s="1"/>
  <c r="BO372" i="89"/>
  <c r="I376" i="89"/>
  <c r="BO376" i="89"/>
  <c r="I380" i="89"/>
  <c r="BO380" i="89"/>
  <c r="I384" i="89"/>
  <c r="BJ384" i="89" s="1"/>
  <c r="BO384" i="89"/>
  <c r="I388" i="89"/>
  <c r="BO388" i="89"/>
  <c r="I392" i="89"/>
  <c r="BO392" i="89"/>
  <c r="I396" i="89"/>
  <c r="BO396" i="89"/>
  <c r="I400" i="89"/>
  <c r="BJ400" i="89" s="1"/>
  <c r="BO400" i="89"/>
  <c r="I404" i="89"/>
  <c r="BJ404" i="89" s="1"/>
  <c r="BO404" i="89"/>
  <c r="I408" i="89"/>
  <c r="BO408" i="89"/>
  <c r="I412" i="89"/>
  <c r="BO412" i="89"/>
  <c r="I416" i="89"/>
  <c r="BJ416" i="89" s="1"/>
  <c r="BO416" i="89"/>
  <c r="I420" i="89"/>
  <c r="BJ420" i="89" s="1"/>
  <c r="BO420" i="89"/>
  <c r="I424" i="89"/>
  <c r="BO424" i="89"/>
  <c r="I428" i="89"/>
  <c r="BO428" i="89"/>
  <c r="I432" i="89"/>
  <c r="BJ432" i="89" s="1"/>
  <c r="BO432" i="89"/>
  <c r="I436" i="89"/>
  <c r="BJ436" i="89" s="1"/>
  <c r="BO436" i="89"/>
  <c r="I440" i="89"/>
  <c r="BO440" i="89"/>
  <c r="I444" i="89"/>
  <c r="BO444" i="89"/>
  <c r="I448" i="89"/>
  <c r="BJ448" i="89" s="1"/>
  <c r="BO448" i="89"/>
  <c r="I452" i="89"/>
  <c r="BJ452" i="89" s="1"/>
  <c r="BO452" i="89"/>
  <c r="I456" i="89"/>
  <c r="BO456" i="89"/>
  <c r="I460" i="89"/>
  <c r="BO460" i="89"/>
  <c r="I464" i="89"/>
  <c r="BJ464" i="89" s="1"/>
  <c r="BO464" i="89"/>
  <c r="I468" i="89"/>
  <c r="BJ468" i="89" s="1"/>
  <c r="BO468" i="89"/>
  <c r="I472" i="89"/>
  <c r="BO472" i="89"/>
  <c r="I476" i="89"/>
  <c r="BO476" i="89"/>
  <c r="I480" i="89"/>
  <c r="BJ480" i="89" s="1"/>
  <c r="BO480" i="89"/>
  <c r="I51" i="89"/>
  <c r="BJ51" i="89" s="1"/>
  <c r="BO51" i="89"/>
  <c r="I55" i="89"/>
  <c r="BO55" i="89"/>
  <c r="I59" i="89"/>
  <c r="BO59" i="89"/>
  <c r="I63" i="89"/>
  <c r="BJ63" i="89" s="1"/>
  <c r="BO63" i="89"/>
  <c r="I67" i="89"/>
  <c r="BJ67" i="89" s="1"/>
  <c r="BO67" i="89"/>
  <c r="I71" i="89"/>
  <c r="BO71" i="89"/>
  <c r="I75" i="89"/>
  <c r="BO75" i="89"/>
  <c r="I79" i="89"/>
  <c r="BJ79" i="89" s="1"/>
  <c r="BO79" i="89"/>
  <c r="I83" i="89"/>
  <c r="BO83" i="89"/>
  <c r="I87" i="89"/>
  <c r="BO87" i="89"/>
  <c r="I91" i="89"/>
  <c r="BO91" i="89"/>
  <c r="I95" i="89"/>
  <c r="BJ95" i="89" s="1"/>
  <c r="BO95" i="89"/>
  <c r="I99" i="89"/>
  <c r="BJ99" i="89" s="1"/>
  <c r="BO99" i="89"/>
  <c r="I103" i="89"/>
  <c r="BO103" i="89"/>
  <c r="I107" i="89"/>
  <c r="BO107" i="89"/>
  <c r="I111" i="89"/>
  <c r="BJ111" i="89" s="1"/>
  <c r="BO111" i="89"/>
  <c r="I115" i="89"/>
  <c r="BJ115" i="89" s="1"/>
  <c r="BO115" i="89"/>
  <c r="I119" i="89"/>
  <c r="BO119" i="89"/>
  <c r="I123" i="89"/>
  <c r="BO123" i="89"/>
  <c r="I127" i="89"/>
  <c r="BJ127" i="89" s="1"/>
  <c r="BO127" i="89"/>
  <c r="I131" i="89"/>
  <c r="BJ131" i="89" s="1"/>
  <c r="BO131" i="89"/>
  <c r="I135" i="89"/>
  <c r="BO135" i="89"/>
  <c r="I139" i="89"/>
  <c r="BO139" i="89"/>
  <c r="I143" i="89"/>
  <c r="BJ143" i="89" s="1"/>
  <c r="BO143" i="89"/>
  <c r="I147" i="89"/>
  <c r="BO147" i="89"/>
  <c r="I151" i="89"/>
  <c r="BO151" i="89"/>
  <c r="I155" i="89"/>
  <c r="BO155" i="89"/>
  <c r="I159" i="89"/>
  <c r="BJ159" i="89" s="1"/>
  <c r="BO159" i="89"/>
  <c r="I163" i="89"/>
  <c r="BJ163" i="89" s="1"/>
  <c r="BO163" i="89"/>
  <c r="I167" i="89"/>
  <c r="BO167" i="89"/>
  <c r="I171" i="89"/>
  <c r="BO171" i="89"/>
  <c r="I175" i="89"/>
  <c r="BJ175" i="89" s="1"/>
  <c r="BO175" i="89"/>
  <c r="I179" i="89"/>
  <c r="BJ179" i="89" s="1"/>
  <c r="BO179" i="89"/>
  <c r="I183" i="89"/>
  <c r="BO183" i="89"/>
  <c r="I187" i="89"/>
  <c r="BO187" i="89"/>
  <c r="I191" i="89"/>
  <c r="BJ191" i="89" s="1"/>
  <c r="BO191" i="89"/>
  <c r="I195" i="89"/>
  <c r="BJ195" i="89" s="1"/>
  <c r="BO195" i="89"/>
  <c r="I199" i="89"/>
  <c r="BO199" i="89"/>
  <c r="I203" i="89"/>
  <c r="BO203" i="89"/>
  <c r="I207" i="89"/>
  <c r="BJ207" i="89" s="1"/>
  <c r="BO207" i="89"/>
  <c r="I211" i="89"/>
  <c r="BO211" i="89"/>
  <c r="I215" i="89"/>
  <c r="BO215" i="89"/>
  <c r="I219" i="89"/>
  <c r="BO219" i="89"/>
  <c r="I223" i="89"/>
  <c r="BJ223" i="89" s="1"/>
  <c r="BO223" i="89"/>
  <c r="I227" i="89"/>
  <c r="BJ227" i="89" s="1"/>
  <c r="BO227" i="89"/>
  <c r="I231" i="89"/>
  <c r="BO231" i="89"/>
  <c r="I235" i="89"/>
  <c r="BO235" i="89"/>
  <c r="I239" i="89"/>
  <c r="BJ239" i="89" s="1"/>
  <c r="BO239" i="89"/>
  <c r="I243" i="89"/>
  <c r="BJ243" i="89" s="1"/>
  <c r="BO243" i="89"/>
  <c r="I247" i="89"/>
  <c r="BO247" i="89"/>
  <c r="I251" i="89"/>
  <c r="BO251" i="89"/>
  <c r="I255" i="89"/>
  <c r="BJ255" i="89" s="1"/>
  <c r="BO255" i="89"/>
  <c r="I259" i="89"/>
  <c r="BJ259" i="89" s="1"/>
  <c r="BO259" i="89"/>
  <c r="I263" i="89"/>
  <c r="BO263" i="89"/>
  <c r="I267" i="89"/>
  <c r="BO267" i="89"/>
  <c r="I271" i="89"/>
  <c r="BJ271" i="89" s="1"/>
  <c r="BO271" i="89"/>
  <c r="I275" i="89"/>
  <c r="BO275" i="89"/>
  <c r="I279" i="89"/>
  <c r="BO279" i="89"/>
  <c r="I283" i="89"/>
  <c r="BO283" i="89"/>
  <c r="I287" i="89"/>
  <c r="BJ287" i="89" s="1"/>
  <c r="BO287" i="89"/>
  <c r="I291" i="89"/>
  <c r="BJ291" i="89" s="1"/>
  <c r="BO291" i="89"/>
  <c r="I295" i="89"/>
  <c r="BO295" i="89"/>
  <c r="I299" i="89"/>
  <c r="BO299" i="89"/>
  <c r="I303" i="89"/>
  <c r="BJ303" i="89" s="1"/>
  <c r="BO303" i="89"/>
  <c r="I307" i="89"/>
  <c r="BJ307" i="89" s="1"/>
  <c r="BO307" i="89"/>
  <c r="I311" i="89"/>
  <c r="BO311" i="89"/>
  <c r="I315" i="89"/>
  <c r="BO315" i="89"/>
  <c r="I319" i="89"/>
  <c r="BJ319" i="89" s="1"/>
  <c r="BO319" i="89"/>
  <c r="I323" i="89"/>
  <c r="BJ323" i="89" s="1"/>
  <c r="BO323" i="89"/>
  <c r="I327" i="89"/>
  <c r="BO327" i="89"/>
  <c r="I331" i="89"/>
  <c r="BO331" i="89"/>
  <c r="I335" i="89"/>
  <c r="BJ335" i="89" s="1"/>
  <c r="BO335" i="89"/>
  <c r="I339" i="89"/>
  <c r="BO339" i="89"/>
  <c r="I343" i="89"/>
  <c r="BO343" i="89"/>
  <c r="I347" i="89"/>
  <c r="BO347" i="89"/>
  <c r="I351" i="89"/>
  <c r="BJ351" i="89" s="1"/>
  <c r="BO351" i="89"/>
  <c r="I355" i="89"/>
  <c r="BJ355" i="89" s="1"/>
  <c r="BO355" i="89"/>
  <c r="I359" i="89"/>
  <c r="BO359" i="89"/>
  <c r="I363" i="89"/>
  <c r="BO363" i="89"/>
  <c r="I367" i="89"/>
  <c r="BJ367" i="89" s="1"/>
  <c r="BO367" i="89"/>
  <c r="I371" i="89"/>
  <c r="BJ371" i="89" s="1"/>
  <c r="BO371" i="89"/>
  <c r="I375" i="89"/>
  <c r="BO375" i="89"/>
  <c r="I379" i="89"/>
  <c r="BO379" i="89"/>
  <c r="I383" i="89"/>
  <c r="BJ383" i="89" s="1"/>
  <c r="BO383" i="89"/>
  <c r="I387" i="89"/>
  <c r="BJ387" i="89" s="1"/>
  <c r="BO387" i="89"/>
  <c r="I391" i="89"/>
  <c r="BO391" i="89"/>
  <c r="I395" i="89"/>
  <c r="BO395" i="89"/>
  <c r="I399" i="89"/>
  <c r="BJ399" i="89" s="1"/>
  <c r="BO399" i="89"/>
  <c r="I403" i="89"/>
  <c r="BO403" i="89"/>
  <c r="I407" i="89"/>
  <c r="BO407" i="89"/>
  <c r="I411" i="89"/>
  <c r="BO411" i="89"/>
  <c r="I415" i="89"/>
  <c r="BJ415" i="89" s="1"/>
  <c r="BO415" i="89"/>
  <c r="I419" i="89"/>
  <c r="BJ419" i="89" s="1"/>
  <c r="BO419" i="89"/>
  <c r="I423" i="89"/>
  <c r="BO423" i="89"/>
  <c r="I427" i="89"/>
  <c r="BO427" i="89"/>
  <c r="I431" i="89"/>
  <c r="BJ431" i="89" s="1"/>
  <c r="BO431" i="89"/>
  <c r="I435" i="89"/>
  <c r="BJ435" i="89" s="1"/>
  <c r="BO435" i="89"/>
  <c r="I439" i="89"/>
  <c r="BO439" i="89"/>
  <c r="I443" i="89"/>
  <c r="BO443" i="89"/>
  <c r="I447" i="89"/>
  <c r="BJ447" i="89" s="1"/>
  <c r="BO447" i="89"/>
  <c r="I451" i="89"/>
  <c r="BJ451" i="89" s="1"/>
  <c r="BO451" i="89"/>
  <c r="I455" i="89"/>
  <c r="BO455" i="89"/>
  <c r="I459" i="89"/>
  <c r="BO459" i="89"/>
  <c r="I463" i="89"/>
  <c r="BJ463" i="89" s="1"/>
  <c r="BO463" i="89"/>
  <c r="I467" i="89"/>
  <c r="BO467" i="89"/>
  <c r="I471" i="89"/>
  <c r="BO471" i="89"/>
  <c r="I475" i="89"/>
  <c r="BO475" i="89"/>
  <c r="I479" i="89"/>
  <c r="BJ479" i="89" s="1"/>
  <c r="BO479" i="89"/>
  <c r="I483" i="89"/>
  <c r="BJ483" i="89" s="1"/>
  <c r="BO483" i="89"/>
  <c r="I486" i="89"/>
  <c r="BO486" i="89"/>
  <c r="I490" i="89"/>
  <c r="BO490" i="89"/>
  <c r="I494" i="89"/>
  <c r="BJ494" i="89" s="1"/>
  <c r="BO494" i="89"/>
  <c r="I498" i="89"/>
  <c r="BJ498" i="89" s="1"/>
  <c r="BO498" i="89"/>
  <c r="I502" i="89"/>
  <c r="BO502" i="89"/>
  <c r="I506" i="89"/>
  <c r="BO506" i="89"/>
  <c r="I510" i="89"/>
  <c r="BJ510" i="89" s="1"/>
  <c r="BO510" i="89"/>
  <c r="I514" i="89"/>
  <c r="BJ514" i="89" s="1"/>
  <c r="BO514" i="89"/>
  <c r="I518" i="89"/>
  <c r="BO518" i="89"/>
  <c r="I522" i="89"/>
  <c r="BO522" i="89"/>
  <c r="I526" i="89"/>
  <c r="BJ526" i="89" s="1"/>
  <c r="BO526" i="89"/>
  <c r="I530" i="89"/>
  <c r="BO530" i="89"/>
  <c r="I534" i="89"/>
  <c r="BO534" i="89"/>
  <c r="I538" i="89"/>
  <c r="BO538" i="89"/>
  <c r="I542" i="89"/>
  <c r="BJ542" i="89" s="1"/>
  <c r="BO542" i="89"/>
  <c r="I546" i="89"/>
  <c r="BJ546" i="89" s="1"/>
  <c r="BO546" i="89"/>
  <c r="I550" i="89"/>
  <c r="BO550" i="89"/>
  <c r="I554" i="89"/>
  <c r="BO554" i="89"/>
  <c r="I558" i="89"/>
  <c r="BJ558" i="89" s="1"/>
  <c r="BO558" i="89"/>
  <c r="I562" i="89"/>
  <c r="BJ562" i="89" s="1"/>
  <c r="BO562" i="89"/>
  <c r="I566" i="89"/>
  <c r="BO566" i="89"/>
  <c r="I570" i="89"/>
  <c r="BO570" i="89"/>
  <c r="I574" i="89"/>
  <c r="BJ574" i="89" s="1"/>
  <c r="BO574" i="89"/>
  <c r="I578" i="89"/>
  <c r="BJ578" i="89" s="1"/>
  <c r="BO578" i="89"/>
  <c r="I582" i="89"/>
  <c r="BO582" i="89"/>
  <c r="I586" i="89"/>
  <c r="BO586" i="89"/>
  <c r="I590" i="89"/>
  <c r="BJ590" i="89" s="1"/>
  <c r="BO590" i="89"/>
  <c r="I594" i="89"/>
  <c r="BO594" i="89"/>
  <c r="I598" i="89"/>
  <c r="BO598" i="89"/>
  <c r="I602" i="89"/>
  <c r="BO602" i="89"/>
  <c r="I606" i="89"/>
  <c r="BJ606" i="89" s="1"/>
  <c r="BO606" i="89"/>
  <c r="I610" i="89"/>
  <c r="BJ610" i="89" s="1"/>
  <c r="BO610" i="89"/>
  <c r="I614" i="89"/>
  <c r="BO614" i="89"/>
  <c r="I618" i="89"/>
  <c r="BO618" i="89"/>
  <c r="I622" i="89"/>
  <c r="BJ622" i="89" s="1"/>
  <c r="BO622" i="89"/>
  <c r="I626" i="89"/>
  <c r="BJ626" i="89" s="1"/>
  <c r="BO626" i="89"/>
  <c r="I630" i="89"/>
  <c r="BO630" i="89"/>
  <c r="I634" i="89"/>
  <c r="BO634" i="89"/>
  <c r="I638" i="89"/>
  <c r="BJ638" i="89" s="1"/>
  <c r="BO638" i="89"/>
  <c r="I642" i="89"/>
  <c r="BJ642" i="89" s="1"/>
  <c r="BO642" i="89"/>
  <c r="I646" i="89"/>
  <c r="BO646" i="89"/>
  <c r="I650" i="89"/>
  <c r="BO650" i="89"/>
  <c r="I654" i="89"/>
  <c r="BJ654" i="89" s="1"/>
  <c r="BO654" i="89"/>
  <c r="I658" i="89"/>
  <c r="BO658" i="89"/>
  <c r="I662" i="89"/>
  <c r="BO662" i="89"/>
  <c r="I666" i="89"/>
  <c r="BO666" i="89"/>
  <c r="I670" i="89"/>
  <c r="BJ670" i="89" s="1"/>
  <c r="BO670" i="89"/>
  <c r="I674" i="89"/>
  <c r="BJ674" i="89" s="1"/>
  <c r="BO674" i="89"/>
  <c r="I678" i="89"/>
  <c r="BO678" i="89"/>
  <c r="I682" i="89"/>
  <c r="BO682" i="89"/>
  <c r="I686" i="89"/>
  <c r="BJ686" i="89" s="1"/>
  <c r="BO686" i="89"/>
  <c r="I690" i="89"/>
  <c r="BJ690" i="89" s="1"/>
  <c r="BO690" i="89"/>
  <c r="I694" i="89"/>
  <c r="BO694" i="89"/>
  <c r="I698" i="89"/>
  <c r="BO698" i="89"/>
  <c r="I702" i="89"/>
  <c r="BJ702" i="89" s="1"/>
  <c r="BO702" i="89"/>
  <c r="I706" i="89"/>
  <c r="BJ706" i="89" s="1"/>
  <c r="BO706" i="89"/>
  <c r="I710" i="89"/>
  <c r="BO710" i="89"/>
  <c r="I714" i="89"/>
  <c r="BO714" i="89"/>
  <c r="I718" i="89"/>
  <c r="BJ718" i="89" s="1"/>
  <c r="BO718" i="89"/>
  <c r="I722" i="89"/>
  <c r="BO722" i="89"/>
  <c r="I726" i="89"/>
  <c r="BO726" i="89"/>
  <c r="I730" i="89"/>
  <c r="BO730" i="89"/>
  <c r="I734" i="89"/>
  <c r="BJ734" i="89" s="1"/>
  <c r="BO734" i="89"/>
  <c r="I738" i="89"/>
  <c r="BJ738" i="89" s="1"/>
  <c r="BO738" i="89"/>
  <c r="I742" i="89"/>
  <c r="BO742" i="89"/>
  <c r="I746" i="89"/>
  <c r="BO746" i="89"/>
  <c r="I750" i="89"/>
  <c r="BJ750" i="89" s="1"/>
  <c r="BO750" i="89"/>
  <c r="I754" i="89"/>
  <c r="BJ754" i="89" s="1"/>
  <c r="BO754" i="89"/>
  <c r="I758" i="89"/>
  <c r="BO758" i="89"/>
  <c r="I762" i="89"/>
  <c r="BO762" i="89"/>
  <c r="I766" i="89"/>
  <c r="BJ766" i="89" s="1"/>
  <c r="BO766" i="89"/>
  <c r="I770" i="89"/>
  <c r="BJ770" i="89" s="1"/>
  <c r="BO770" i="89"/>
  <c r="I774" i="89"/>
  <c r="BO774" i="89"/>
  <c r="I778" i="89"/>
  <c r="BO778" i="89"/>
  <c r="I782" i="89"/>
  <c r="BJ782" i="89" s="1"/>
  <c r="BO782" i="89"/>
  <c r="I786" i="89"/>
  <c r="BO786" i="89"/>
  <c r="I790" i="89"/>
  <c r="BO790" i="89"/>
  <c r="I794" i="89"/>
  <c r="BO794" i="89"/>
  <c r="I798" i="89"/>
  <c r="BJ798" i="89" s="1"/>
  <c r="BO798" i="89"/>
  <c r="I802" i="89"/>
  <c r="BJ802" i="89" s="1"/>
  <c r="BO802" i="89"/>
  <c r="I806" i="89"/>
  <c r="BO806" i="89"/>
  <c r="I810" i="89"/>
  <c r="BO810" i="89"/>
  <c r="I814" i="89"/>
  <c r="BJ814" i="89" s="1"/>
  <c r="BO814" i="89"/>
  <c r="I818" i="89"/>
  <c r="BJ818" i="89" s="1"/>
  <c r="BO818" i="89"/>
  <c r="I822" i="89"/>
  <c r="BO822" i="89"/>
  <c r="I826" i="89"/>
  <c r="BO826" i="89"/>
  <c r="I830" i="89"/>
  <c r="BJ830" i="89" s="1"/>
  <c r="BO830" i="89"/>
  <c r="I834" i="89"/>
  <c r="BJ834" i="89" s="1"/>
  <c r="BO834" i="89"/>
  <c r="I838" i="89"/>
  <c r="BO838" i="89"/>
  <c r="I842" i="89"/>
  <c r="BO842" i="89"/>
  <c r="I846" i="89"/>
  <c r="BJ846" i="89" s="1"/>
  <c r="BO846" i="89"/>
  <c r="I850" i="89"/>
  <c r="BO850" i="89"/>
  <c r="I854" i="89"/>
  <c r="BO854" i="89"/>
  <c r="I858" i="89"/>
  <c r="BO858" i="89"/>
  <c r="I862" i="89"/>
  <c r="BJ862" i="89" s="1"/>
  <c r="BO862" i="89"/>
  <c r="I866" i="89"/>
  <c r="BJ866" i="89" s="1"/>
  <c r="BO866" i="89"/>
  <c r="I870" i="89"/>
  <c r="BO870" i="89"/>
  <c r="I874" i="89"/>
  <c r="BO874" i="89"/>
  <c r="I878" i="89"/>
  <c r="BJ878" i="89" s="1"/>
  <c r="BO878" i="89"/>
  <c r="I882" i="89"/>
  <c r="BJ882" i="89" s="1"/>
  <c r="BO882" i="89"/>
  <c r="I886" i="89"/>
  <c r="BO886" i="89"/>
  <c r="I890" i="89"/>
  <c r="BO890" i="89"/>
  <c r="I894" i="89"/>
  <c r="BJ894" i="89" s="1"/>
  <c r="BO894" i="89"/>
  <c r="I898" i="89"/>
  <c r="BJ898" i="89" s="1"/>
  <c r="BO898" i="89"/>
  <c r="I902" i="89"/>
  <c r="BO902" i="89"/>
  <c r="I906" i="89"/>
  <c r="BO906" i="89"/>
  <c r="I910" i="89"/>
  <c r="BJ910" i="89" s="1"/>
  <c r="BO910" i="89"/>
  <c r="I914" i="89"/>
  <c r="BO914" i="89"/>
  <c r="I918" i="89"/>
  <c r="BO918" i="89"/>
  <c r="I922" i="89"/>
  <c r="BO922" i="89"/>
  <c r="I926" i="89"/>
  <c r="BJ926" i="89" s="1"/>
  <c r="BO926" i="89"/>
  <c r="I930" i="89"/>
  <c r="BJ930" i="89" s="1"/>
  <c r="BO930" i="89"/>
  <c r="I934" i="89"/>
  <c r="BO934" i="89"/>
  <c r="I938" i="89"/>
  <c r="BO938" i="89"/>
  <c r="I942" i="89"/>
  <c r="BJ942" i="89" s="1"/>
  <c r="BO942" i="89"/>
  <c r="I946" i="89"/>
  <c r="BJ946" i="89" s="1"/>
  <c r="BO946" i="89"/>
  <c r="I950" i="89"/>
  <c r="BO950" i="89"/>
  <c r="I954" i="89"/>
  <c r="BO954" i="89"/>
  <c r="I958" i="89"/>
  <c r="BJ958" i="89" s="1"/>
  <c r="BO958" i="89"/>
  <c r="I962" i="89"/>
  <c r="BJ962" i="89" s="1"/>
  <c r="BO962" i="89"/>
  <c r="I966" i="89"/>
  <c r="BO966" i="89"/>
  <c r="I970" i="89"/>
  <c r="BO970" i="89"/>
  <c r="I974" i="89"/>
  <c r="BJ974" i="89" s="1"/>
  <c r="BO974" i="89"/>
  <c r="I978" i="89"/>
  <c r="BO978" i="89"/>
  <c r="I982" i="89"/>
  <c r="BO982" i="89"/>
  <c r="I986" i="89"/>
  <c r="BO986" i="89"/>
  <c r="I990" i="89"/>
  <c r="BJ990" i="89" s="1"/>
  <c r="BO990" i="89"/>
  <c r="I994" i="89"/>
  <c r="BJ994" i="89" s="1"/>
  <c r="BO994" i="89"/>
  <c r="I998" i="89"/>
  <c r="BO998" i="89"/>
  <c r="I1002" i="89"/>
  <c r="BO1002" i="89"/>
  <c r="I1006" i="89"/>
  <c r="BJ1006" i="89" s="1"/>
  <c r="BO1006" i="89"/>
  <c r="I1010" i="89"/>
  <c r="BJ1010" i="89" s="1"/>
  <c r="BO1010" i="89"/>
  <c r="I1014" i="89"/>
  <c r="BO1014" i="89"/>
  <c r="I1018" i="89"/>
  <c r="BO1018" i="89"/>
  <c r="I1022" i="89"/>
  <c r="BJ1022" i="89" s="1"/>
  <c r="BO1022" i="89"/>
  <c r="I1026" i="89"/>
  <c r="BJ1026" i="89" s="1"/>
  <c r="BO1026" i="89"/>
  <c r="I1030" i="89"/>
  <c r="BO1030" i="89"/>
  <c r="I1034" i="89"/>
  <c r="BO1034" i="89"/>
  <c r="I1038" i="89"/>
  <c r="BJ1038" i="89" s="1"/>
  <c r="BO1038" i="89"/>
  <c r="I1042" i="89"/>
  <c r="BO1042" i="89"/>
  <c r="I1046" i="89"/>
  <c r="BO1046" i="89"/>
  <c r="I1050" i="89"/>
  <c r="BO1050" i="89"/>
  <c r="I1054" i="89"/>
  <c r="BJ1054" i="89" s="1"/>
  <c r="BO1054" i="89"/>
  <c r="I1058" i="89"/>
  <c r="BJ1058" i="89" s="1"/>
  <c r="BO1058" i="89"/>
  <c r="I1062" i="89"/>
  <c r="BO1062" i="89"/>
  <c r="I1066" i="89"/>
  <c r="BO1066" i="89"/>
  <c r="I1070" i="89"/>
  <c r="BJ1070" i="89" s="1"/>
  <c r="BO1070" i="89"/>
  <c r="I1074" i="89"/>
  <c r="BJ1074" i="89" s="1"/>
  <c r="BO1074" i="89"/>
  <c r="I1078" i="89"/>
  <c r="BO1078" i="89"/>
  <c r="I1082" i="89"/>
  <c r="BO1082" i="89"/>
  <c r="I1086" i="89"/>
  <c r="BJ1086" i="89" s="1"/>
  <c r="BO1086" i="89"/>
  <c r="I1090" i="89"/>
  <c r="BJ1090" i="89" s="1"/>
  <c r="BO1090" i="89"/>
  <c r="I1094" i="89"/>
  <c r="BO1094" i="89"/>
  <c r="I1098" i="89"/>
  <c r="BO1098" i="89"/>
  <c r="I1102" i="89"/>
  <c r="BJ1102" i="89" s="1"/>
  <c r="BO1102" i="89"/>
  <c r="I1106" i="89"/>
  <c r="BO1106" i="89"/>
  <c r="I1110" i="89"/>
  <c r="BO1110" i="89"/>
  <c r="I1114" i="89"/>
  <c r="BO1114" i="89"/>
  <c r="I1118" i="89"/>
  <c r="BJ1118" i="89" s="1"/>
  <c r="BO1118" i="89"/>
  <c r="I1122" i="89"/>
  <c r="BJ1122" i="89" s="1"/>
  <c r="BO1122" i="89"/>
  <c r="I1126" i="89"/>
  <c r="BO1126" i="89"/>
  <c r="I1130" i="89"/>
  <c r="BO1130" i="89"/>
  <c r="I1134" i="89"/>
  <c r="BJ1134" i="89" s="1"/>
  <c r="BO1134" i="89"/>
  <c r="I1138" i="89"/>
  <c r="BJ1138" i="89" s="1"/>
  <c r="BO1138" i="89"/>
  <c r="I1142" i="89"/>
  <c r="BO1142" i="89"/>
  <c r="I1146" i="89"/>
  <c r="BO1146" i="89"/>
  <c r="I1150" i="89"/>
  <c r="BJ1150" i="89" s="1"/>
  <c r="BO1150" i="89"/>
  <c r="I1154" i="89"/>
  <c r="BJ1154" i="89" s="1"/>
  <c r="BO1154" i="89"/>
  <c r="I1158" i="89"/>
  <c r="BO1158" i="89"/>
  <c r="I1162" i="89"/>
  <c r="BO1162" i="89"/>
  <c r="I1166" i="89"/>
  <c r="BJ1166" i="89" s="1"/>
  <c r="BO1166" i="89"/>
  <c r="I1170" i="89"/>
  <c r="BO1170" i="89"/>
  <c r="I1174" i="89"/>
  <c r="BO1174" i="89"/>
  <c r="I1178" i="89"/>
  <c r="BO1178" i="89"/>
  <c r="I1182" i="89"/>
  <c r="BJ1182" i="89" s="1"/>
  <c r="BO1182" i="89"/>
  <c r="I1186" i="89"/>
  <c r="BJ1186" i="89" s="1"/>
  <c r="BO1186" i="89"/>
  <c r="I1190" i="89"/>
  <c r="BO1190" i="89"/>
  <c r="I1194" i="89"/>
  <c r="BO1194" i="89"/>
  <c r="I1198" i="89"/>
  <c r="BJ1198" i="89" s="1"/>
  <c r="BO1198" i="89"/>
  <c r="I1202" i="89"/>
  <c r="BJ1202" i="89" s="1"/>
  <c r="BO1202" i="89"/>
  <c r="I1206" i="89"/>
  <c r="BO1206" i="89"/>
  <c r="I1210" i="89"/>
  <c r="BO1210" i="89"/>
  <c r="I1214" i="89"/>
  <c r="BJ1214" i="89" s="1"/>
  <c r="BO1214" i="89"/>
  <c r="I1218" i="89"/>
  <c r="BJ1218" i="89" s="1"/>
  <c r="BO1218" i="89"/>
  <c r="I1222" i="89"/>
  <c r="BO1222" i="89"/>
  <c r="I1226" i="89"/>
  <c r="BO1226" i="89"/>
  <c r="I1230" i="89"/>
  <c r="BJ1230" i="89" s="1"/>
  <c r="BO1230" i="89"/>
  <c r="I1234" i="89"/>
  <c r="BO1234" i="89"/>
  <c r="I1238" i="89"/>
  <c r="BO1238" i="89"/>
  <c r="I1242" i="89"/>
  <c r="BO1242" i="89"/>
  <c r="I1246" i="89"/>
  <c r="BJ1246" i="89" s="1"/>
  <c r="BO1246" i="89"/>
  <c r="I1250" i="89"/>
  <c r="BJ1250" i="89" s="1"/>
  <c r="BO1250" i="89"/>
  <c r="I1254" i="89"/>
  <c r="BO1254" i="89"/>
  <c r="I1258" i="89"/>
  <c r="BO1258" i="89"/>
  <c r="I1262" i="89"/>
  <c r="BJ1262" i="89" s="1"/>
  <c r="BO1262" i="89"/>
  <c r="I1266" i="89"/>
  <c r="BJ1266" i="89" s="1"/>
  <c r="BO1266" i="89"/>
  <c r="I1270" i="89"/>
  <c r="BO1270" i="89"/>
  <c r="I1274" i="89"/>
  <c r="BO1274" i="89"/>
  <c r="I1278" i="89"/>
  <c r="BJ1278" i="89" s="1"/>
  <c r="BO1278" i="89"/>
  <c r="I1282" i="89"/>
  <c r="BJ1282" i="89" s="1"/>
  <c r="BO1282" i="89"/>
  <c r="I1286" i="89"/>
  <c r="BO1286" i="89"/>
  <c r="I1290" i="89"/>
  <c r="BO1290" i="89"/>
  <c r="I1294" i="89"/>
  <c r="BJ1294" i="89" s="1"/>
  <c r="BO1294" i="89"/>
  <c r="I1298" i="89"/>
  <c r="BJ1298" i="89" s="1"/>
  <c r="BO1298" i="89"/>
  <c r="I1302" i="89"/>
  <c r="BO1302" i="89"/>
  <c r="I1306" i="89"/>
  <c r="BO1306" i="89"/>
  <c r="I1310" i="89"/>
  <c r="BJ1310" i="89" s="1"/>
  <c r="BO1310" i="89"/>
  <c r="I1314" i="89"/>
  <c r="BO1314" i="89"/>
  <c r="I1318" i="89"/>
  <c r="BO1318" i="89"/>
  <c r="I1322" i="89"/>
  <c r="BO1322" i="89"/>
  <c r="I1326" i="89"/>
  <c r="BJ1326" i="89" s="1"/>
  <c r="BO1326" i="89"/>
  <c r="I1330" i="89"/>
  <c r="BJ1330" i="89" s="1"/>
  <c r="BO1330" i="89"/>
  <c r="I1334" i="89"/>
  <c r="BO1334" i="89"/>
  <c r="I1338" i="89"/>
  <c r="BO1338" i="89"/>
  <c r="I1342" i="89"/>
  <c r="BJ1342" i="89" s="1"/>
  <c r="BO1342" i="89"/>
  <c r="I1346" i="89"/>
  <c r="BJ1346" i="89" s="1"/>
  <c r="BO1346" i="89"/>
  <c r="I1350" i="89"/>
  <c r="BO1350" i="89"/>
  <c r="I1354" i="89"/>
  <c r="BO1354" i="89"/>
  <c r="I1358" i="89"/>
  <c r="BJ1358" i="89" s="1"/>
  <c r="BO1358" i="89"/>
  <c r="I1362" i="89"/>
  <c r="BJ1362" i="89" s="1"/>
  <c r="BO1362" i="89"/>
  <c r="I1366" i="89"/>
  <c r="BO1366" i="89"/>
  <c r="I1370" i="89"/>
  <c r="BO1370" i="89"/>
  <c r="I1374" i="89"/>
  <c r="BJ1374" i="89" s="1"/>
  <c r="BO1374" i="89"/>
  <c r="I1378" i="89"/>
  <c r="BJ1378" i="89" s="1"/>
  <c r="BO1378" i="89"/>
  <c r="I1382" i="89"/>
  <c r="BJ1382" i="89" s="1"/>
  <c r="BO1382" i="89"/>
  <c r="I1386" i="89"/>
  <c r="BO1386" i="89"/>
  <c r="I1390" i="89"/>
  <c r="BJ1390" i="89" s="1"/>
  <c r="BO1390" i="89"/>
  <c r="I1394" i="89"/>
  <c r="BJ1394" i="89" s="1"/>
  <c r="BO1394" i="89"/>
  <c r="I1398" i="89"/>
  <c r="BO1398" i="89"/>
  <c r="I1402" i="89"/>
  <c r="BO1402" i="89"/>
  <c r="I1406" i="89"/>
  <c r="BJ1406" i="89" s="1"/>
  <c r="BO1406" i="89"/>
  <c r="I1410" i="89"/>
  <c r="BJ1410" i="89" s="1"/>
  <c r="BO1410" i="89"/>
  <c r="I1414" i="89"/>
  <c r="BO1414" i="89"/>
  <c r="I1418" i="89"/>
  <c r="BO1418" i="89"/>
  <c r="I1422" i="89"/>
  <c r="BJ1422" i="89" s="1"/>
  <c r="BO1422" i="89"/>
  <c r="I1426" i="89"/>
  <c r="BJ1426" i="89" s="1"/>
  <c r="BO1426" i="89"/>
  <c r="I1430" i="89"/>
  <c r="BO1430" i="89"/>
  <c r="I1434" i="89"/>
  <c r="BO1434" i="89"/>
  <c r="I1438" i="89"/>
  <c r="BJ1438" i="89" s="1"/>
  <c r="BO1438" i="89"/>
  <c r="I1442" i="89"/>
  <c r="BO1442" i="89"/>
  <c r="I1446" i="89"/>
  <c r="BO1446" i="89"/>
  <c r="I1450" i="89"/>
  <c r="BO1450" i="89"/>
  <c r="I1454" i="89"/>
  <c r="BJ1454" i="89" s="1"/>
  <c r="BO1454" i="89"/>
  <c r="I1458" i="89"/>
  <c r="BJ1458" i="89" s="1"/>
  <c r="BO1458" i="89"/>
  <c r="I1462" i="89"/>
  <c r="BO1462" i="89"/>
  <c r="I1466" i="89"/>
  <c r="BO1466" i="89"/>
  <c r="I1470" i="89"/>
  <c r="BJ1470" i="89" s="1"/>
  <c r="BO1470" i="89"/>
  <c r="I1474" i="89"/>
  <c r="BJ1474" i="89" s="1"/>
  <c r="BO1474" i="89"/>
  <c r="I1478" i="89"/>
  <c r="BO1478" i="89"/>
  <c r="I1482" i="89"/>
  <c r="BO1482" i="89"/>
  <c r="I1486" i="89"/>
  <c r="BJ1486" i="89" s="1"/>
  <c r="BO1486" i="89"/>
  <c r="I1490" i="89"/>
  <c r="BJ1490" i="89" s="1"/>
  <c r="BO1490" i="89"/>
  <c r="I1494" i="89"/>
  <c r="BO1494" i="89"/>
  <c r="I49" i="89"/>
  <c r="BO49" i="89"/>
  <c r="I45" i="89"/>
  <c r="BJ45" i="89" s="1"/>
  <c r="BO45" i="89"/>
  <c r="I485" i="89"/>
  <c r="BJ485" i="89" s="1"/>
  <c r="BO485" i="89"/>
  <c r="I489" i="89"/>
  <c r="BO489" i="89"/>
  <c r="I493" i="89"/>
  <c r="BO493" i="89"/>
  <c r="I497" i="89"/>
  <c r="BJ497" i="89" s="1"/>
  <c r="BO497" i="89"/>
  <c r="I501" i="89"/>
  <c r="BJ501" i="89" s="1"/>
  <c r="BO501" i="89"/>
  <c r="I505" i="89"/>
  <c r="BO505" i="89"/>
  <c r="I509" i="89"/>
  <c r="BO509" i="89"/>
  <c r="I513" i="89"/>
  <c r="BJ513" i="89" s="1"/>
  <c r="BO513" i="89"/>
  <c r="I517" i="89"/>
  <c r="BO517" i="89"/>
  <c r="I521" i="89"/>
  <c r="BJ521" i="89" s="1"/>
  <c r="BO521" i="89"/>
  <c r="I525" i="89"/>
  <c r="BO525" i="89"/>
  <c r="I529" i="89"/>
  <c r="BJ529" i="89" s="1"/>
  <c r="BO529" i="89"/>
  <c r="I533" i="89"/>
  <c r="BJ533" i="89" s="1"/>
  <c r="BO533" i="89"/>
  <c r="I537" i="89"/>
  <c r="BO537" i="89"/>
  <c r="I541" i="89"/>
  <c r="BO541" i="89"/>
  <c r="I545" i="89"/>
  <c r="BJ545" i="89" s="1"/>
  <c r="BO545" i="89"/>
  <c r="I549" i="89"/>
  <c r="BJ549" i="89" s="1"/>
  <c r="BO549" i="89"/>
  <c r="I553" i="89"/>
  <c r="BO553" i="89"/>
  <c r="I557" i="89"/>
  <c r="BO557" i="89"/>
  <c r="I561" i="89"/>
  <c r="BJ561" i="89" s="1"/>
  <c r="BO561" i="89"/>
  <c r="I565" i="89"/>
  <c r="BJ565" i="89" s="1"/>
  <c r="BO565" i="89"/>
  <c r="I569" i="89"/>
  <c r="BO569" i="89"/>
  <c r="I573" i="89"/>
  <c r="BO573" i="89"/>
  <c r="I577" i="89"/>
  <c r="BJ577" i="89" s="1"/>
  <c r="BO577" i="89"/>
  <c r="I581" i="89"/>
  <c r="BJ581" i="89" s="1"/>
  <c r="BO581" i="89"/>
  <c r="I585" i="89"/>
  <c r="BO585" i="89"/>
  <c r="I589" i="89"/>
  <c r="BO589" i="89"/>
  <c r="I593" i="89"/>
  <c r="BJ593" i="89" s="1"/>
  <c r="BO593" i="89"/>
  <c r="I597" i="89"/>
  <c r="BO597" i="89"/>
  <c r="I601" i="89"/>
  <c r="BO601" i="89"/>
  <c r="I605" i="89"/>
  <c r="BO605" i="89"/>
  <c r="I609" i="89"/>
  <c r="BJ609" i="89" s="1"/>
  <c r="BO609" i="89"/>
  <c r="I613" i="89"/>
  <c r="BJ613" i="89" s="1"/>
  <c r="BO613" i="89"/>
  <c r="I617" i="89"/>
  <c r="BO617" i="89"/>
  <c r="I621" i="89"/>
  <c r="BO621" i="89"/>
  <c r="I625" i="89"/>
  <c r="BJ625" i="89" s="1"/>
  <c r="BO625" i="89"/>
  <c r="I629" i="89"/>
  <c r="BJ629" i="89" s="1"/>
  <c r="BO629" i="89"/>
  <c r="I633" i="89"/>
  <c r="BO633" i="89"/>
  <c r="I637" i="89"/>
  <c r="BO637" i="89"/>
  <c r="I641" i="89"/>
  <c r="BJ641" i="89" s="1"/>
  <c r="BO641" i="89"/>
  <c r="I645" i="89"/>
  <c r="BJ645" i="89" s="1"/>
  <c r="BO645" i="89"/>
  <c r="I649" i="89"/>
  <c r="BO649" i="89"/>
  <c r="I653" i="89"/>
  <c r="BO653" i="89"/>
  <c r="I657" i="89"/>
  <c r="BJ657" i="89" s="1"/>
  <c r="BO657" i="89"/>
  <c r="I661" i="89"/>
  <c r="BJ661" i="89" s="1"/>
  <c r="BO661" i="89"/>
  <c r="I665" i="89"/>
  <c r="BO665" i="89"/>
  <c r="I669" i="89"/>
  <c r="BO669" i="89"/>
  <c r="I673" i="89"/>
  <c r="BJ673" i="89" s="1"/>
  <c r="BO673" i="89"/>
  <c r="I677" i="89"/>
  <c r="BJ677" i="89" s="1"/>
  <c r="BO677" i="89"/>
  <c r="I681" i="89"/>
  <c r="BO681" i="89"/>
  <c r="I685" i="89"/>
  <c r="BO685" i="89"/>
  <c r="I689" i="89"/>
  <c r="BJ689" i="89" s="1"/>
  <c r="BO689" i="89"/>
  <c r="I693" i="89"/>
  <c r="BO693" i="89"/>
  <c r="I697" i="89"/>
  <c r="BO697" i="89"/>
  <c r="I701" i="89"/>
  <c r="BO701" i="89"/>
  <c r="I705" i="89"/>
  <c r="BJ705" i="89" s="1"/>
  <c r="BO705" i="89"/>
  <c r="I709" i="89"/>
  <c r="BJ709" i="89" s="1"/>
  <c r="BO709" i="89"/>
  <c r="I713" i="89"/>
  <c r="BO713" i="89"/>
  <c r="I717" i="89"/>
  <c r="BO717" i="89"/>
  <c r="I721" i="89"/>
  <c r="BJ721" i="89" s="1"/>
  <c r="BO721" i="89"/>
  <c r="I725" i="89"/>
  <c r="BJ725" i="89" s="1"/>
  <c r="BO725" i="89"/>
  <c r="I729" i="89"/>
  <c r="BO729" i="89"/>
  <c r="I733" i="89"/>
  <c r="BO733" i="89"/>
  <c r="I737" i="89"/>
  <c r="BJ737" i="89" s="1"/>
  <c r="BO737" i="89"/>
  <c r="I741" i="89"/>
  <c r="BJ741" i="89" s="1"/>
  <c r="BO741" i="89"/>
  <c r="I745" i="89"/>
  <c r="BO745" i="89"/>
  <c r="I749" i="89"/>
  <c r="BO749" i="89"/>
  <c r="I753" i="89"/>
  <c r="BJ753" i="89" s="1"/>
  <c r="BO753" i="89"/>
  <c r="I757" i="89"/>
  <c r="BJ757" i="89" s="1"/>
  <c r="BO757" i="89"/>
  <c r="I761" i="89"/>
  <c r="BO761" i="89"/>
  <c r="I765" i="89"/>
  <c r="BO765" i="89"/>
  <c r="I769" i="89"/>
  <c r="BJ769" i="89" s="1"/>
  <c r="BO769" i="89"/>
  <c r="I773" i="89"/>
  <c r="BJ773" i="89" s="1"/>
  <c r="BO773" i="89"/>
  <c r="I777" i="89"/>
  <c r="BO777" i="89"/>
  <c r="I781" i="89"/>
  <c r="BO781" i="89"/>
  <c r="I785" i="89"/>
  <c r="BJ785" i="89" s="1"/>
  <c r="BO785" i="89"/>
  <c r="I789" i="89"/>
  <c r="BO789" i="89"/>
  <c r="I793" i="89"/>
  <c r="BO793" i="89"/>
  <c r="I797" i="89"/>
  <c r="BO797" i="89"/>
  <c r="I801" i="89"/>
  <c r="BJ801" i="89" s="1"/>
  <c r="BO801" i="89"/>
  <c r="I805" i="89"/>
  <c r="BJ805" i="89" s="1"/>
  <c r="BO805" i="89"/>
  <c r="I809" i="89"/>
  <c r="BO809" i="89"/>
  <c r="I813" i="89"/>
  <c r="BO813" i="89"/>
  <c r="I817" i="89"/>
  <c r="BJ817" i="89" s="1"/>
  <c r="BO817" i="89"/>
  <c r="I821" i="89"/>
  <c r="BJ821" i="89" s="1"/>
  <c r="BO821" i="89"/>
  <c r="I825" i="89"/>
  <c r="BO825" i="89"/>
  <c r="I829" i="89"/>
  <c r="BO829" i="89"/>
  <c r="I833" i="89"/>
  <c r="BJ833" i="89" s="1"/>
  <c r="BO833" i="89"/>
  <c r="I837" i="89"/>
  <c r="BJ837" i="89" s="1"/>
  <c r="BO837" i="89"/>
  <c r="I841" i="89"/>
  <c r="BO841" i="89"/>
  <c r="I845" i="89"/>
  <c r="BO845" i="89"/>
  <c r="I849" i="89"/>
  <c r="BJ849" i="89" s="1"/>
  <c r="BO849" i="89"/>
  <c r="I853" i="89"/>
  <c r="BJ853" i="89" s="1"/>
  <c r="BO853" i="89"/>
  <c r="I857" i="89"/>
  <c r="BO857" i="89"/>
  <c r="I861" i="89"/>
  <c r="BO861" i="89"/>
  <c r="I865" i="89"/>
  <c r="BJ865" i="89" s="1"/>
  <c r="BO865" i="89"/>
  <c r="I869" i="89"/>
  <c r="BJ869" i="89" s="1"/>
  <c r="BO869" i="89"/>
  <c r="I873" i="89"/>
  <c r="BO873" i="89"/>
  <c r="I877" i="89"/>
  <c r="BO877" i="89"/>
  <c r="I881" i="89"/>
  <c r="BJ881" i="89" s="1"/>
  <c r="BO881" i="89"/>
  <c r="I885" i="89"/>
  <c r="BO885" i="89"/>
  <c r="I889" i="89"/>
  <c r="BO889" i="89"/>
  <c r="I893" i="89"/>
  <c r="BO893" i="89"/>
  <c r="I897" i="89"/>
  <c r="BJ897" i="89" s="1"/>
  <c r="BO897" i="89"/>
  <c r="I901" i="89"/>
  <c r="BJ901" i="89" s="1"/>
  <c r="BO901" i="89"/>
  <c r="I905" i="89"/>
  <c r="BO905" i="89"/>
  <c r="I909" i="89"/>
  <c r="BO909" i="89"/>
  <c r="I913" i="89"/>
  <c r="BJ913" i="89" s="1"/>
  <c r="BO913" i="89"/>
  <c r="I917" i="89"/>
  <c r="BJ917" i="89" s="1"/>
  <c r="BO917" i="89"/>
  <c r="I921" i="89"/>
  <c r="BO921" i="89"/>
  <c r="I925" i="89"/>
  <c r="BO925" i="89"/>
  <c r="I929" i="89"/>
  <c r="BJ929" i="89" s="1"/>
  <c r="BO929" i="89"/>
  <c r="I933" i="89"/>
  <c r="BJ933" i="89" s="1"/>
  <c r="BO933" i="89"/>
  <c r="I937" i="89"/>
  <c r="BO937" i="89"/>
  <c r="I941" i="89"/>
  <c r="BO941" i="89"/>
  <c r="I945" i="89"/>
  <c r="BJ945" i="89" s="1"/>
  <c r="BO945" i="89"/>
  <c r="I949" i="89"/>
  <c r="BJ949" i="89" s="1"/>
  <c r="BO949" i="89"/>
  <c r="I953" i="89"/>
  <c r="BO953" i="89"/>
  <c r="I957" i="89"/>
  <c r="BO957" i="89"/>
  <c r="I961" i="89"/>
  <c r="BJ961" i="89" s="1"/>
  <c r="BO961" i="89"/>
  <c r="I965" i="89"/>
  <c r="BJ965" i="89" s="1"/>
  <c r="BO965" i="89"/>
  <c r="I969" i="89"/>
  <c r="BO969" i="89"/>
  <c r="I973" i="89"/>
  <c r="BO973" i="89"/>
  <c r="I977" i="89"/>
  <c r="BJ977" i="89" s="1"/>
  <c r="BO977" i="89"/>
  <c r="I981" i="89"/>
  <c r="BJ981" i="89" s="1"/>
  <c r="BO981" i="89"/>
  <c r="I985" i="89"/>
  <c r="BO985" i="89"/>
  <c r="I989" i="89"/>
  <c r="BO989" i="89"/>
  <c r="I993" i="89"/>
  <c r="BJ993" i="89" s="1"/>
  <c r="BO993" i="89"/>
  <c r="I997" i="89"/>
  <c r="BJ997" i="89" s="1"/>
  <c r="BO997" i="89"/>
  <c r="I1001" i="89"/>
  <c r="BO1001" i="89"/>
  <c r="I1005" i="89"/>
  <c r="BO1005" i="89"/>
  <c r="I1009" i="89"/>
  <c r="BJ1009" i="89" s="1"/>
  <c r="BO1009" i="89"/>
  <c r="I1013" i="89"/>
  <c r="BJ1013" i="89" s="1"/>
  <c r="BO1013" i="89"/>
  <c r="I1017" i="89"/>
  <c r="BO1017" i="89"/>
  <c r="I1021" i="89"/>
  <c r="BO1021" i="89"/>
  <c r="I1025" i="89"/>
  <c r="BJ1025" i="89" s="1"/>
  <c r="BO1025" i="89"/>
  <c r="I1029" i="89"/>
  <c r="BJ1029" i="89" s="1"/>
  <c r="BO1029" i="89"/>
  <c r="I1033" i="89"/>
  <c r="BO1033" i="89"/>
  <c r="I1037" i="89"/>
  <c r="BO1037" i="89"/>
  <c r="I1041" i="89"/>
  <c r="BJ1041" i="89" s="1"/>
  <c r="BO1041" i="89"/>
  <c r="I1045" i="89"/>
  <c r="BJ1045" i="89" s="1"/>
  <c r="BO1045" i="89"/>
  <c r="I1049" i="89"/>
  <c r="BO1049" i="89"/>
  <c r="I1053" i="89"/>
  <c r="BO1053" i="89"/>
  <c r="I1057" i="89"/>
  <c r="BJ1057" i="89" s="1"/>
  <c r="BO1057" i="89"/>
  <c r="I1061" i="89"/>
  <c r="BO1061" i="89"/>
  <c r="I1065" i="89"/>
  <c r="BO1065" i="89"/>
  <c r="I1069" i="89"/>
  <c r="BO1069" i="89"/>
  <c r="I1073" i="89"/>
  <c r="BJ1073" i="89" s="1"/>
  <c r="BO1073" i="89"/>
  <c r="I1077" i="89"/>
  <c r="BJ1077" i="89" s="1"/>
  <c r="BO1077" i="89"/>
  <c r="I1081" i="89"/>
  <c r="BO1081" i="89"/>
  <c r="I1085" i="89"/>
  <c r="BO1085" i="89"/>
  <c r="I1089" i="89"/>
  <c r="BJ1089" i="89" s="1"/>
  <c r="BO1089" i="89"/>
  <c r="I1093" i="89"/>
  <c r="BJ1093" i="89" s="1"/>
  <c r="BO1093" i="89"/>
  <c r="I1097" i="89"/>
  <c r="BO1097" i="89"/>
  <c r="I1101" i="89"/>
  <c r="BO1101" i="89"/>
  <c r="I1105" i="89"/>
  <c r="BJ1105" i="89" s="1"/>
  <c r="BO1105" i="89"/>
  <c r="I1109" i="89"/>
  <c r="BJ1109" i="89" s="1"/>
  <c r="BO1109" i="89"/>
  <c r="I1113" i="89"/>
  <c r="BO1113" i="89"/>
  <c r="I1117" i="89"/>
  <c r="BO1117" i="89"/>
  <c r="I1121" i="89"/>
  <c r="BJ1121" i="89" s="1"/>
  <c r="BO1121" i="89"/>
  <c r="I1125" i="89"/>
  <c r="BJ1125" i="89" s="1"/>
  <c r="BO1125" i="89"/>
  <c r="I1129" i="89"/>
  <c r="BO1129" i="89"/>
  <c r="I1133" i="89"/>
  <c r="BO1133" i="89"/>
  <c r="I1137" i="89"/>
  <c r="BJ1137" i="89" s="1"/>
  <c r="BO1137" i="89"/>
  <c r="I1141" i="89"/>
  <c r="BJ1141" i="89" s="1"/>
  <c r="BO1141" i="89"/>
  <c r="I1145" i="89"/>
  <c r="BO1145" i="89"/>
  <c r="I1149" i="89"/>
  <c r="BO1149" i="89"/>
  <c r="I1153" i="89"/>
  <c r="BJ1153" i="89" s="1"/>
  <c r="BO1153" i="89"/>
  <c r="I1157" i="89"/>
  <c r="BO1157" i="89"/>
  <c r="I1161" i="89"/>
  <c r="BO1161" i="89"/>
  <c r="I1165" i="89"/>
  <c r="BO1165" i="89"/>
  <c r="I1169" i="89"/>
  <c r="BJ1169" i="89" s="1"/>
  <c r="BO1169" i="89"/>
  <c r="I1173" i="89"/>
  <c r="BJ1173" i="89" s="1"/>
  <c r="BO1173" i="89"/>
  <c r="I1177" i="89"/>
  <c r="BO1177" i="89"/>
  <c r="I1181" i="89"/>
  <c r="BO1181" i="89"/>
  <c r="I1185" i="89"/>
  <c r="BJ1185" i="89" s="1"/>
  <c r="BO1185" i="89"/>
  <c r="I1189" i="89"/>
  <c r="BJ1189" i="89" s="1"/>
  <c r="BO1189" i="89"/>
  <c r="I1193" i="89"/>
  <c r="BO1193" i="89"/>
  <c r="I1197" i="89"/>
  <c r="BO1197" i="89"/>
  <c r="I1201" i="89"/>
  <c r="BJ1201" i="89" s="1"/>
  <c r="BO1201" i="89"/>
  <c r="I1205" i="89"/>
  <c r="BJ1205" i="89" s="1"/>
  <c r="BO1205" i="89"/>
  <c r="I1209" i="89"/>
  <c r="BO1209" i="89"/>
  <c r="I1213" i="89"/>
  <c r="BO1213" i="89"/>
  <c r="I1217" i="89"/>
  <c r="BJ1217" i="89" s="1"/>
  <c r="BO1217" i="89"/>
  <c r="I1221" i="89"/>
  <c r="BJ1221" i="89" s="1"/>
  <c r="BO1221" i="89"/>
  <c r="I1225" i="89"/>
  <c r="BO1225" i="89"/>
  <c r="I1229" i="89"/>
  <c r="BO1229" i="89"/>
  <c r="I1233" i="89"/>
  <c r="BJ1233" i="89" s="1"/>
  <c r="BO1233" i="89"/>
  <c r="I1237" i="89"/>
  <c r="BJ1237" i="89" s="1"/>
  <c r="BO1237" i="89"/>
  <c r="I1241" i="89"/>
  <c r="BO1241" i="89"/>
  <c r="I1245" i="89"/>
  <c r="BO1245" i="89"/>
  <c r="I1249" i="89"/>
  <c r="BJ1249" i="89" s="1"/>
  <c r="BO1249" i="89"/>
  <c r="I1253" i="89"/>
  <c r="BJ1253" i="89" s="1"/>
  <c r="BO1253" i="89"/>
  <c r="I1257" i="89"/>
  <c r="BO1257" i="89"/>
  <c r="I1261" i="89"/>
  <c r="BO1261" i="89"/>
  <c r="I1265" i="89"/>
  <c r="BJ1265" i="89" s="1"/>
  <c r="BO1265" i="89"/>
  <c r="I1269" i="89"/>
  <c r="BJ1269" i="89" s="1"/>
  <c r="BO1269" i="89"/>
  <c r="I1273" i="89"/>
  <c r="BO1273" i="89"/>
  <c r="I1277" i="89"/>
  <c r="BO1277" i="89"/>
  <c r="I1281" i="89"/>
  <c r="BJ1281" i="89" s="1"/>
  <c r="BO1281" i="89"/>
  <c r="I1285" i="89"/>
  <c r="BJ1285" i="89" s="1"/>
  <c r="BO1285" i="89"/>
  <c r="I1289" i="89"/>
  <c r="BO1289" i="89"/>
  <c r="I1293" i="89"/>
  <c r="BO1293" i="89"/>
  <c r="I1297" i="89"/>
  <c r="BJ1297" i="89" s="1"/>
  <c r="BO1297" i="89"/>
  <c r="I1301" i="89"/>
  <c r="BJ1301" i="89" s="1"/>
  <c r="BO1301" i="89"/>
  <c r="I1305" i="89"/>
  <c r="BO1305" i="89"/>
  <c r="I1309" i="89"/>
  <c r="BO1309" i="89"/>
  <c r="I1313" i="89"/>
  <c r="BJ1313" i="89" s="1"/>
  <c r="BO1313" i="89"/>
  <c r="I1317" i="89"/>
  <c r="BJ1317" i="89" s="1"/>
  <c r="BO1317" i="89"/>
  <c r="I1321" i="89"/>
  <c r="BO1321" i="89"/>
  <c r="I1325" i="89"/>
  <c r="BO1325" i="89"/>
  <c r="I1329" i="89"/>
  <c r="BJ1329" i="89" s="1"/>
  <c r="BO1329" i="89"/>
  <c r="I1333" i="89"/>
  <c r="BJ1333" i="89" s="1"/>
  <c r="BO1333" i="89"/>
  <c r="I1337" i="89"/>
  <c r="BO1337" i="89"/>
  <c r="I1341" i="89"/>
  <c r="BO1341" i="89"/>
  <c r="I1345" i="89"/>
  <c r="BJ1345" i="89" s="1"/>
  <c r="BO1345" i="89"/>
  <c r="I1349" i="89"/>
  <c r="BO1349" i="89"/>
  <c r="I1353" i="89"/>
  <c r="BO1353" i="89"/>
  <c r="I1357" i="89"/>
  <c r="BO1357" i="89"/>
  <c r="I1361" i="89"/>
  <c r="BJ1361" i="89" s="1"/>
  <c r="BO1361" i="89"/>
  <c r="I1365" i="89"/>
  <c r="BJ1365" i="89" s="1"/>
  <c r="BO1365" i="89"/>
  <c r="I1369" i="89"/>
  <c r="BO1369" i="89"/>
  <c r="I1373" i="89"/>
  <c r="BO1373" i="89"/>
  <c r="I1377" i="89"/>
  <c r="BJ1377" i="89" s="1"/>
  <c r="BO1377" i="89"/>
  <c r="I1381" i="89"/>
  <c r="BJ1381" i="89" s="1"/>
  <c r="BO1381" i="89"/>
  <c r="I1385" i="89"/>
  <c r="BO1385" i="89"/>
  <c r="I1389" i="89"/>
  <c r="BO1389" i="89"/>
  <c r="I1393" i="89"/>
  <c r="BJ1393" i="89" s="1"/>
  <c r="BO1393" i="89"/>
  <c r="I1397" i="89"/>
  <c r="BJ1397" i="89" s="1"/>
  <c r="BO1397" i="89"/>
  <c r="I1401" i="89"/>
  <c r="BO1401" i="89"/>
  <c r="I1405" i="89"/>
  <c r="BO1405" i="89"/>
  <c r="I1409" i="89"/>
  <c r="BJ1409" i="89" s="1"/>
  <c r="BO1409" i="89"/>
  <c r="I1413" i="89"/>
  <c r="BJ1413" i="89" s="1"/>
  <c r="BO1413" i="89"/>
  <c r="I1417" i="89"/>
  <c r="BO1417" i="89"/>
  <c r="I1421" i="89"/>
  <c r="BO1421" i="89"/>
  <c r="I1425" i="89"/>
  <c r="BJ1425" i="89" s="1"/>
  <c r="BO1425" i="89"/>
  <c r="I1429" i="89"/>
  <c r="BJ1429" i="89" s="1"/>
  <c r="BO1429" i="89"/>
  <c r="I1433" i="89"/>
  <c r="BO1433" i="89"/>
  <c r="I1437" i="89"/>
  <c r="BO1437" i="89"/>
  <c r="I1441" i="89"/>
  <c r="BJ1441" i="89" s="1"/>
  <c r="BO1441" i="89"/>
  <c r="I1445" i="89"/>
  <c r="BJ1445" i="89" s="1"/>
  <c r="BO1445" i="89"/>
  <c r="I1449" i="89"/>
  <c r="BO1449" i="89"/>
  <c r="I1453" i="89"/>
  <c r="BO1453" i="89"/>
  <c r="I1457" i="89"/>
  <c r="BJ1457" i="89" s="1"/>
  <c r="BO1457" i="89"/>
  <c r="I1461" i="89"/>
  <c r="BJ1461" i="89" s="1"/>
  <c r="BO1461" i="89"/>
  <c r="I1465" i="89"/>
  <c r="BO1465" i="89"/>
  <c r="I1469" i="89"/>
  <c r="BO1469" i="89"/>
  <c r="I1473" i="89"/>
  <c r="BJ1473" i="89" s="1"/>
  <c r="BO1473" i="89"/>
  <c r="I1477" i="89"/>
  <c r="BJ1477" i="89" s="1"/>
  <c r="BO1477" i="89"/>
  <c r="I1481" i="89"/>
  <c r="BO1481" i="89"/>
  <c r="I1485" i="89"/>
  <c r="BO1485" i="89"/>
  <c r="I1489" i="89"/>
  <c r="BJ1489" i="89" s="1"/>
  <c r="BO1489" i="89"/>
  <c r="I1493" i="89"/>
  <c r="BJ1493" i="89" s="1"/>
  <c r="BO1493" i="89"/>
  <c r="I50" i="89"/>
  <c r="BO50" i="89"/>
  <c r="I46" i="89"/>
  <c r="BO46" i="89"/>
  <c r="I484" i="89"/>
  <c r="BJ484" i="89" s="1"/>
  <c r="BO484" i="89"/>
  <c r="I488" i="89"/>
  <c r="BJ488" i="89" s="1"/>
  <c r="BO488" i="89"/>
  <c r="I492" i="89"/>
  <c r="BO492" i="89"/>
  <c r="I496" i="89"/>
  <c r="BO496" i="89"/>
  <c r="I500" i="89"/>
  <c r="BJ500" i="89" s="1"/>
  <c r="BO500" i="89"/>
  <c r="I504" i="89"/>
  <c r="BJ504" i="89" s="1"/>
  <c r="BO504" i="89"/>
  <c r="I508" i="89"/>
  <c r="BO508" i="89"/>
  <c r="I512" i="89"/>
  <c r="BO512" i="89"/>
  <c r="I516" i="89"/>
  <c r="BO516" i="89"/>
  <c r="I520" i="89"/>
  <c r="BJ520" i="89" s="1"/>
  <c r="BO520" i="89"/>
  <c r="I524" i="89"/>
  <c r="BO524" i="89"/>
  <c r="I528" i="89"/>
  <c r="BO528" i="89"/>
  <c r="I532" i="89"/>
  <c r="BJ532" i="89" s="1"/>
  <c r="BO532" i="89"/>
  <c r="I536" i="89"/>
  <c r="BO536" i="89"/>
  <c r="I540" i="89"/>
  <c r="BO540" i="89"/>
  <c r="I544" i="89"/>
  <c r="BO544" i="89"/>
  <c r="I548" i="89"/>
  <c r="BO548" i="89"/>
  <c r="I552" i="89"/>
  <c r="BJ552" i="89" s="1"/>
  <c r="BO552" i="89"/>
  <c r="I556" i="89"/>
  <c r="BO556" i="89"/>
  <c r="I560" i="89"/>
  <c r="BO560" i="89"/>
  <c r="I564" i="89"/>
  <c r="BJ564" i="89" s="1"/>
  <c r="BO564" i="89"/>
  <c r="I568" i="89"/>
  <c r="BJ568" i="89" s="1"/>
  <c r="BO568" i="89"/>
  <c r="I572" i="89"/>
  <c r="BO572" i="89"/>
  <c r="I576" i="89"/>
  <c r="BO576" i="89"/>
  <c r="I580" i="89"/>
  <c r="BO580" i="89"/>
  <c r="I584" i="89"/>
  <c r="BJ584" i="89" s="1"/>
  <c r="BO584" i="89"/>
  <c r="I588" i="89"/>
  <c r="BO588" i="89"/>
  <c r="I592" i="89"/>
  <c r="BO592" i="89"/>
  <c r="I596" i="89"/>
  <c r="BJ596" i="89" s="1"/>
  <c r="BO596" i="89"/>
  <c r="I600" i="89"/>
  <c r="BJ600" i="89" s="1"/>
  <c r="BO600" i="89"/>
  <c r="I604" i="89"/>
  <c r="BO604" i="89"/>
  <c r="I608" i="89"/>
  <c r="BO608" i="89"/>
  <c r="I612" i="89"/>
  <c r="BJ612" i="89" s="1"/>
  <c r="BO612" i="89"/>
  <c r="I616" i="89"/>
  <c r="BJ616" i="89" s="1"/>
  <c r="BO616" i="89"/>
  <c r="I620" i="89"/>
  <c r="BO620" i="89"/>
  <c r="I624" i="89"/>
  <c r="BO624" i="89"/>
  <c r="I628" i="89"/>
  <c r="BJ628" i="89" s="1"/>
  <c r="BO628" i="89"/>
  <c r="I632" i="89"/>
  <c r="BO632" i="89"/>
  <c r="I636" i="89"/>
  <c r="BO636" i="89"/>
  <c r="I640" i="89"/>
  <c r="BO640" i="89"/>
  <c r="I644" i="89"/>
  <c r="BJ644" i="89" s="1"/>
  <c r="BO644" i="89"/>
  <c r="I648" i="89"/>
  <c r="BJ648" i="89" s="1"/>
  <c r="BO648" i="89"/>
  <c r="I652" i="89"/>
  <c r="BO652" i="89"/>
  <c r="I656" i="89"/>
  <c r="BO656" i="89"/>
  <c r="I660" i="89"/>
  <c r="BJ660" i="89" s="1"/>
  <c r="BO660" i="89"/>
  <c r="I664" i="89"/>
  <c r="BJ664" i="89" s="1"/>
  <c r="BO664" i="89"/>
  <c r="I668" i="89"/>
  <c r="BO668" i="89"/>
  <c r="I672" i="89"/>
  <c r="BO672" i="89"/>
  <c r="I676" i="89"/>
  <c r="BJ676" i="89" s="1"/>
  <c r="BO676" i="89"/>
  <c r="I680" i="89"/>
  <c r="BJ680" i="89" s="1"/>
  <c r="BO680" i="89"/>
  <c r="I684" i="89"/>
  <c r="BO684" i="89"/>
  <c r="I688" i="89"/>
  <c r="BO688" i="89"/>
  <c r="I692" i="89"/>
  <c r="BJ692" i="89" s="1"/>
  <c r="BO692" i="89"/>
  <c r="I696" i="89"/>
  <c r="BJ696" i="89" s="1"/>
  <c r="BO696" i="89"/>
  <c r="I700" i="89"/>
  <c r="BO700" i="89"/>
  <c r="I704" i="89"/>
  <c r="BO704" i="89"/>
  <c r="I708" i="89"/>
  <c r="BJ708" i="89" s="1"/>
  <c r="BO708" i="89"/>
  <c r="I712" i="89"/>
  <c r="BJ712" i="89" s="1"/>
  <c r="BO712" i="89"/>
  <c r="I716" i="89"/>
  <c r="BO716" i="89"/>
  <c r="I720" i="89"/>
  <c r="BO720" i="89"/>
  <c r="I724" i="89"/>
  <c r="BJ724" i="89" s="1"/>
  <c r="BO724" i="89"/>
  <c r="I728" i="89"/>
  <c r="BJ728" i="89" s="1"/>
  <c r="BO728" i="89"/>
  <c r="I732" i="89"/>
  <c r="BO732" i="89"/>
  <c r="I736" i="89"/>
  <c r="BO736" i="89"/>
  <c r="I740" i="89"/>
  <c r="BJ740" i="89" s="1"/>
  <c r="BO740" i="89"/>
  <c r="I744" i="89"/>
  <c r="BJ744" i="89" s="1"/>
  <c r="BO744" i="89"/>
  <c r="I748" i="89"/>
  <c r="BO748" i="89"/>
  <c r="I752" i="89"/>
  <c r="BO752" i="89"/>
  <c r="I756" i="89"/>
  <c r="BJ756" i="89" s="1"/>
  <c r="BO756" i="89"/>
  <c r="I760" i="89"/>
  <c r="BJ760" i="89" s="1"/>
  <c r="BO760" i="89"/>
  <c r="I764" i="89"/>
  <c r="BO764" i="89"/>
  <c r="I768" i="89"/>
  <c r="BO768" i="89"/>
  <c r="I772" i="89"/>
  <c r="BJ772" i="89" s="1"/>
  <c r="BO772" i="89"/>
  <c r="I776" i="89"/>
  <c r="BJ776" i="89" s="1"/>
  <c r="BO776" i="89"/>
  <c r="I780" i="89"/>
  <c r="BO780" i="89"/>
  <c r="I784" i="89"/>
  <c r="BO784" i="89"/>
  <c r="I788" i="89"/>
  <c r="BJ788" i="89" s="1"/>
  <c r="BO788" i="89"/>
  <c r="I792" i="89"/>
  <c r="BJ792" i="89" s="1"/>
  <c r="BO792" i="89"/>
  <c r="I796" i="89"/>
  <c r="BO796" i="89"/>
  <c r="I800" i="89"/>
  <c r="BO800" i="89"/>
  <c r="I804" i="89"/>
  <c r="BJ804" i="89" s="1"/>
  <c r="BO804" i="89"/>
  <c r="I808" i="89"/>
  <c r="BO808" i="89"/>
  <c r="I812" i="89"/>
  <c r="BO812" i="89"/>
  <c r="I816" i="89"/>
  <c r="BO816" i="89"/>
  <c r="I820" i="89"/>
  <c r="BJ820" i="89" s="1"/>
  <c r="BO820" i="89"/>
  <c r="I824" i="89"/>
  <c r="BJ824" i="89" s="1"/>
  <c r="BO824" i="89"/>
  <c r="I828" i="89"/>
  <c r="BO828" i="89"/>
  <c r="I832" i="89"/>
  <c r="BO832" i="89"/>
  <c r="I836" i="89"/>
  <c r="BJ836" i="89" s="1"/>
  <c r="BO836" i="89"/>
  <c r="I840" i="89"/>
  <c r="BJ840" i="89" s="1"/>
  <c r="BO840" i="89"/>
  <c r="I844" i="89"/>
  <c r="BO844" i="89"/>
  <c r="I848" i="89"/>
  <c r="BO848" i="89"/>
  <c r="I852" i="89"/>
  <c r="BJ852" i="89" s="1"/>
  <c r="BO852" i="89"/>
  <c r="I856" i="89"/>
  <c r="BJ856" i="89" s="1"/>
  <c r="BO856" i="89"/>
  <c r="I860" i="89"/>
  <c r="BO860" i="89"/>
  <c r="I864" i="89"/>
  <c r="BO864" i="89"/>
  <c r="I868" i="89"/>
  <c r="BJ868" i="89" s="1"/>
  <c r="BO868" i="89"/>
  <c r="I872" i="89"/>
  <c r="BJ872" i="89" s="1"/>
  <c r="BO872" i="89"/>
  <c r="I876" i="89"/>
  <c r="BO876" i="89"/>
  <c r="I880" i="89"/>
  <c r="BO880" i="89"/>
  <c r="I884" i="89"/>
  <c r="BJ884" i="89" s="1"/>
  <c r="BO884" i="89"/>
  <c r="I888" i="89"/>
  <c r="BO888" i="89"/>
  <c r="I892" i="89"/>
  <c r="BO892" i="89"/>
  <c r="I896" i="89"/>
  <c r="BO896" i="89"/>
  <c r="I900" i="89"/>
  <c r="BJ900" i="89" s="1"/>
  <c r="BO900" i="89"/>
  <c r="I904" i="89"/>
  <c r="BJ904" i="89" s="1"/>
  <c r="BO904" i="89"/>
  <c r="I908" i="89"/>
  <c r="BO908" i="89"/>
  <c r="I912" i="89"/>
  <c r="BO912" i="89"/>
  <c r="I916" i="89"/>
  <c r="BJ916" i="89" s="1"/>
  <c r="BO916" i="89"/>
  <c r="I920" i="89"/>
  <c r="BJ920" i="89" s="1"/>
  <c r="BO920" i="89"/>
  <c r="I924" i="89"/>
  <c r="BO924" i="89"/>
  <c r="I928" i="89"/>
  <c r="BO928" i="89"/>
  <c r="I932" i="89"/>
  <c r="BJ932" i="89" s="1"/>
  <c r="BO932" i="89"/>
  <c r="I936" i="89"/>
  <c r="BJ936" i="89" s="1"/>
  <c r="BO936" i="89"/>
  <c r="I940" i="89"/>
  <c r="BO940" i="89"/>
  <c r="I944" i="89"/>
  <c r="BO944" i="89"/>
  <c r="I948" i="89"/>
  <c r="BJ948" i="89" s="1"/>
  <c r="BO948" i="89"/>
  <c r="I952" i="89"/>
  <c r="BJ952" i="89" s="1"/>
  <c r="BO952" i="89"/>
  <c r="I956" i="89"/>
  <c r="BO956" i="89"/>
  <c r="I960" i="89"/>
  <c r="BO960" i="89"/>
  <c r="I964" i="89"/>
  <c r="BJ964" i="89" s="1"/>
  <c r="BO964" i="89"/>
  <c r="I968" i="89"/>
  <c r="BJ968" i="89" s="1"/>
  <c r="BO968" i="89"/>
  <c r="I972" i="89"/>
  <c r="BO972" i="89"/>
  <c r="I976" i="89"/>
  <c r="BO976" i="89"/>
  <c r="I980" i="89"/>
  <c r="BJ980" i="89" s="1"/>
  <c r="BO980" i="89"/>
  <c r="I984" i="89"/>
  <c r="BJ984" i="89" s="1"/>
  <c r="BO984" i="89"/>
  <c r="I988" i="89"/>
  <c r="BO988" i="89"/>
  <c r="I992" i="89"/>
  <c r="BO992" i="89"/>
  <c r="I996" i="89"/>
  <c r="BJ996" i="89" s="1"/>
  <c r="BO996" i="89"/>
  <c r="I1000" i="89"/>
  <c r="BJ1000" i="89" s="1"/>
  <c r="BO1000" i="89"/>
  <c r="I1004" i="89"/>
  <c r="BO1004" i="89"/>
  <c r="I1008" i="89"/>
  <c r="BO1008" i="89"/>
  <c r="I1012" i="89"/>
  <c r="BJ1012" i="89" s="1"/>
  <c r="BO1012" i="89"/>
  <c r="I1016" i="89"/>
  <c r="BJ1016" i="89" s="1"/>
  <c r="BO1016" i="89"/>
  <c r="I1020" i="89"/>
  <c r="BO1020" i="89"/>
  <c r="I1024" i="89"/>
  <c r="BO1024" i="89"/>
  <c r="I1028" i="89"/>
  <c r="BJ1028" i="89" s="1"/>
  <c r="BO1028" i="89"/>
  <c r="I1032" i="89"/>
  <c r="BJ1032" i="89" s="1"/>
  <c r="BO1032" i="89"/>
  <c r="I1036" i="89"/>
  <c r="BO1036" i="89"/>
  <c r="I1040" i="89"/>
  <c r="BO1040" i="89"/>
  <c r="I1044" i="89"/>
  <c r="BJ1044" i="89" s="1"/>
  <c r="BO1044" i="89"/>
  <c r="I1048" i="89"/>
  <c r="BJ1048" i="89" s="1"/>
  <c r="BO1048" i="89"/>
  <c r="I1052" i="89"/>
  <c r="BO1052" i="89"/>
  <c r="I1056" i="89"/>
  <c r="BO1056" i="89"/>
  <c r="I1060" i="89"/>
  <c r="BJ1060" i="89" s="1"/>
  <c r="BO1060" i="89"/>
  <c r="I1064" i="89"/>
  <c r="BO1064" i="89"/>
  <c r="I1068" i="89"/>
  <c r="BO1068" i="89"/>
  <c r="I1072" i="89"/>
  <c r="BO1072" i="89"/>
  <c r="I1076" i="89"/>
  <c r="BJ1076" i="89" s="1"/>
  <c r="BO1076" i="89"/>
  <c r="I1080" i="89"/>
  <c r="BJ1080" i="89" s="1"/>
  <c r="BO1080" i="89"/>
  <c r="I1084" i="89"/>
  <c r="BO1084" i="89"/>
  <c r="I1088" i="89"/>
  <c r="BO1088" i="89"/>
  <c r="I1092" i="89"/>
  <c r="BJ1092" i="89" s="1"/>
  <c r="BO1092" i="89"/>
  <c r="I1096" i="89"/>
  <c r="BJ1096" i="89" s="1"/>
  <c r="BO1096" i="89"/>
  <c r="I1100" i="89"/>
  <c r="BO1100" i="89"/>
  <c r="I1104" i="89"/>
  <c r="BO1104" i="89"/>
  <c r="I1108" i="89"/>
  <c r="BJ1108" i="89" s="1"/>
  <c r="BO1108" i="89"/>
  <c r="I1112" i="89"/>
  <c r="BJ1112" i="89" s="1"/>
  <c r="BO1112" i="89"/>
  <c r="I1116" i="89"/>
  <c r="BO1116" i="89"/>
  <c r="I1120" i="89"/>
  <c r="BO1120" i="89"/>
  <c r="I1124" i="89"/>
  <c r="BJ1124" i="89" s="1"/>
  <c r="BO1124" i="89"/>
  <c r="I1128" i="89"/>
  <c r="BJ1128" i="89" s="1"/>
  <c r="BO1128" i="89"/>
  <c r="I1132" i="89"/>
  <c r="BO1132" i="89"/>
  <c r="I1136" i="89"/>
  <c r="BO1136" i="89"/>
  <c r="I1140" i="89"/>
  <c r="BJ1140" i="89" s="1"/>
  <c r="BO1140" i="89"/>
  <c r="I1144" i="89"/>
  <c r="BO1144" i="89"/>
  <c r="I1148" i="89"/>
  <c r="BO1148" i="89"/>
  <c r="I1152" i="89"/>
  <c r="BO1152" i="89"/>
  <c r="I1156" i="89"/>
  <c r="BJ1156" i="89" s="1"/>
  <c r="BO1156" i="89"/>
  <c r="I1160" i="89"/>
  <c r="BJ1160" i="89" s="1"/>
  <c r="BO1160" i="89"/>
  <c r="I1164" i="89"/>
  <c r="BO1164" i="89"/>
  <c r="I1168" i="89"/>
  <c r="BO1168" i="89"/>
  <c r="I1172" i="89"/>
  <c r="BJ1172" i="89" s="1"/>
  <c r="BO1172" i="89"/>
  <c r="I1176" i="89"/>
  <c r="BJ1176" i="89" s="1"/>
  <c r="BO1176" i="89"/>
  <c r="I1180" i="89"/>
  <c r="BO1180" i="89"/>
  <c r="I1184" i="89"/>
  <c r="BO1184" i="89"/>
  <c r="I1188" i="89"/>
  <c r="BJ1188" i="89" s="1"/>
  <c r="BO1188" i="89"/>
  <c r="I1192" i="89"/>
  <c r="BJ1192" i="89" s="1"/>
  <c r="BO1192" i="89"/>
  <c r="I1196" i="89"/>
  <c r="BO1196" i="89"/>
  <c r="I1200" i="89"/>
  <c r="BO1200" i="89"/>
  <c r="I1204" i="89"/>
  <c r="BJ1204" i="89" s="1"/>
  <c r="BO1204" i="89"/>
  <c r="I1208" i="89"/>
  <c r="BJ1208" i="89" s="1"/>
  <c r="BO1208" i="89"/>
  <c r="I1212" i="89"/>
  <c r="BO1212" i="89"/>
  <c r="I1216" i="89"/>
  <c r="BO1216" i="89"/>
  <c r="I1220" i="89"/>
  <c r="BJ1220" i="89" s="1"/>
  <c r="BO1220" i="89"/>
  <c r="I1224" i="89"/>
  <c r="BJ1224" i="89" s="1"/>
  <c r="BO1224" i="89"/>
  <c r="I1228" i="89"/>
  <c r="BO1228" i="89"/>
  <c r="I1232" i="89"/>
  <c r="BO1232" i="89"/>
  <c r="I1236" i="89"/>
  <c r="BJ1236" i="89" s="1"/>
  <c r="BO1236" i="89"/>
  <c r="I1240" i="89"/>
  <c r="BJ1240" i="89" s="1"/>
  <c r="BO1240" i="89"/>
  <c r="I1244" i="89"/>
  <c r="BO1244" i="89"/>
  <c r="I1248" i="89"/>
  <c r="BO1248" i="89"/>
  <c r="I1252" i="89"/>
  <c r="BJ1252" i="89" s="1"/>
  <c r="BO1252" i="89"/>
  <c r="I1256" i="89"/>
  <c r="BJ1256" i="89" s="1"/>
  <c r="BO1256" i="89"/>
  <c r="I1260" i="89"/>
  <c r="BO1260" i="89"/>
  <c r="I1264" i="89"/>
  <c r="BO1264" i="89"/>
  <c r="I1268" i="89"/>
  <c r="BJ1268" i="89" s="1"/>
  <c r="BO1268" i="89"/>
  <c r="I1272" i="89"/>
  <c r="BJ1272" i="89" s="1"/>
  <c r="BO1272" i="89"/>
  <c r="I1276" i="89"/>
  <c r="BO1276" i="89"/>
  <c r="I1280" i="89"/>
  <c r="BO1280" i="89"/>
  <c r="I1284" i="89"/>
  <c r="BJ1284" i="89" s="1"/>
  <c r="BO1284" i="89"/>
  <c r="I1288" i="89"/>
  <c r="BJ1288" i="89" s="1"/>
  <c r="BO1288" i="89"/>
  <c r="I1292" i="89"/>
  <c r="BO1292" i="89"/>
  <c r="I1296" i="89"/>
  <c r="BO1296" i="89"/>
  <c r="I1300" i="89"/>
  <c r="BJ1300" i="89" s="1"/>
  <c r="BO1300" i="89"/>
  <c r="I1304" i="89"/>
  <c r="BJ1304" i="89" s="1"/>
  <c r="BO1304" i="89"/>
  <c r="I1308" i="89"/>
  <c r="BO1308" i="89"/>
  <c r="I1312" i="89"/>
  <c r="BO1312" i="89"/>
  <c r="I1316" i="89"/>
  <c r="BJ1316" i="89" s="1"/>
  <c r="BO1316" i="89"/>
  <c r="I1320" i="89"/>
  <c r="BJ1320" i="89" s="1"/>
  <c r="BO1320" i="89"/>
  <c r="I1324" i="89"/>
  <c r="BO1324" i="89"/>
  <c r="I1328" i="89"/>
  <c r="BO1328" i="89"/>
  <c r="I1332" i="89"/>
  <c r="BJ1332" i="89" s="1"/>
  <c r="BO1332" i="89"/>
  <c r="I1336" i="89"/>
  <c r="BJ1336" i="89" s="1"/>
  <c r="BO1336" i="89"/>
  <c r="I1340" i="89"/>
  <c r="BO1340" i="89"/>
  <c r="I1344" i="89"/>
  <c r="BO1344" i="89"/>
  <c r="I1348" i="89"/>
  <c r="BJ1348" i="89" s="1"/>
  <c r="BO1348" i="89"/>
  <c r="I1352" i="89"/>
  <c r="BJ1352" i="89" s="1"/>
  <c r="BO1352" i="89"/>
  <c r="I1356" i="89"/>
  <c r="BO1356" i="89"/>
  <c r="I1360" i="89"/>
  <c r="BO1360" i="89"/>
  <c r="I1364" i="89"/>
  <c r="BJ1364" i="89" s="1"/>
  <c r="BO1364" i="89"/>
  <c r="I1368" i="89"/>
  <c r="BJ1368" i="89" s="1"/>
  <c r="BO1368" i="89"/>
  <c r="I1372" i="89"/>
  <c r="BO1372" i="89"/>
  <c r="I1376" i="89"/>
  <c r="BO1376" i="89"/>
  <c r="I1380" i="89"/>
  <c r="BJ1380" i="89" s="1"/>
  <c r="BO1380" i="89"/>
  <c r="I1384" i="89"/>
  <c r="BO1384" i="89"/>
  <c r="I1388" i="89"/>
  <c r="BO1388" i="89"/>
  <c r="I1392" i="89"/>
  <c r="BO1392" i="89"/>
  <c r="I1396" i="89"/>
  <c r="BJ1396" i="89" s="1"/>
  <c r="BO1396" i="89"/>
  <c r="I1400" i="89"/>
  <c r="BJ1400" i="89" s="1"/>
  <c r="BO1400" i="89"/>
  <c r="I1404" i="89"/>
  <c r="BO1404" i="89"/>
  <c r="I1408" i="89"/>
  <c r="BO1408" i="89"/>
  <c r="I1412" i="89"/>
  <c r="BJ1412" i="89" s="1"/>
  <c r="BO1412" i="89"/>
  <c r="I1416" i="89"/>
  <c r="BJ1416" i="89" s="1"/>
  <c r="BO1416" i="89"/>
  <c r="I1420" i="89"/>
  <c r="BO1420" i="89"/>
  <c r="I1424" i="89"/>
  <c r="BO1424" i="89"/>
  <c r="I1428" i="89"/>
  <c r="BJ1428" i="89" s="1"/>
  <c r="BO1428" i="89"/>
  <c r="I1432" i="89"/>
  <c r="BJ1432" i="89" s="1"/>
  <c r="BO1432" i="89"/>
  <c r="I1436" i="89"/>
  <c r="BO1436" i="89"/>
  <c r="I1440" i="89"/>
  <c r="BO1440" i="89"/>
  <c r="I1444" i="89"/>
  <c r="BJ1444" i="89" s="1"/>
  <c r="BO1444" i="89"/>
  <c r="I1448" i="89"/>
  <c r="BJ1448" i="89" s="1"/>
  <c r="BO1448" i="89"/>
  <c r="I1452" i="89"/>
  <c r="BJ1452" i="89" s="1"/>
  <c r="BO1452" i="89"/>
  <c r="I1456" i="89"/>
  <c r="BO1456" i="89"/>
  <c r="I1460" i="89"/>
  <c r="BJ1460" i="89" s="1"/>
  <c r="BO1460" i="89"/>
  <c r="I1464" i="89"/>
  <c r="BJ1464" i="89" s="1"/>
  <c r="BO1464" i="89"/>
  <c r="I1468" i="89"/>
  <c r="BO1468" i="89"/>
  <c r="I1472" i="89"/>
  <c r="BO1472" i="89"/>
  <c r="I1476" i="89"/>
  <c r="BJ1476" i="89" s="1"/>
  <c r="BO1476" i="89"/>
  <c r="I1480" i="89"/>
  <c r="BJ1480" i="89" s="1"/>
  <c r="BO1480" i="89"/>
  <c r="I1484" i="89"/>
  <c r="BO1484" i="89"/>
  <c r="I1488" i="89"/>
  <c r="BO1488" i="89"/>
  <c r="I1492" i="89"/>
  <c r="BJ1492" i="89" s="1"/>
  <c r="BO1492" i="89"/>
  <c r="I1496" i="89"/>
  <c r="BJ1496" i="89" s="1"/>
  <c r="BO1496" i="89"/>
  <c r="I487" i="89"/>
  <c r="BJ487" i="89" s="1"/>
  <c r="BO487" i="89"/>
  <c r="I491" i="89"/>
  <c r="BO491" i="89"/>
  <c r="I495" i="89"/>
  <c r="BJ495" i="89" s="1"/>
  <c r="BO495" i="89"/>
  <c r="I499" i="89"/>
  <c r="BO499" i="89"/>
  <c r="I503" i="89"/>
  <c r="BO503" i="89"/>
  <c r="I507" i="89"/>
  <c r="BO507" i="89"/>
  <c r="I511" i="89"/>
  <c r="BJ511" i="89" s="1"/>
  <c r="BO511" i="89"/>
  <c r="I515" i="89"/>
  <c r="BJ515" i="89" s="1"/>
  <c r="BO515" i="89"/>
  <c r="I519" i="89"/>
  <c r="BO519" i="89"/>
  <c r="I523" i="89"/>
  <c r="BO523" i="89"/>
  <c r="I527" i="89"/>
  <c r="BJ527" i="89" s="1"/>
  <c r="BO527" i="89"/>
  <c r="I531" i="89"/>
  <c r="BJ531" i="89" s="1"/>
  <c r="BO531" i="89"/>
  <c r="I535" i="89"/>
  <c r="BO535" i="89"/>
  <c r="I539" i="89"/>
  <c r="BO539" i="89"/>
  <c r="I543" i="89"/>
  <c r="BJ543" i="89" s="1"/>
  <c r="BO543" i="89"/>
  <c r="I547" i="89"/>
  <c r="BJ547" i="89" s="1"/>
  <c r="BO547" i="89"/>
  <c r="I551" i="89"/>
  <c r="BO551" i="89"/>
  <c r="I555" i="89"/>
  <c r="BO555" i="89"/>
  <c r="I559" i="89"/>
  <c r="BJ559" i="89" s="1"/>
  <c r="BO559" i="89"/>
  <c r="I563" i="89"/>
  <c r="BJ563" i="89" s="1"/>
  <c r="BO563" i="89"/>
  <c r="I567" i="89"/>
  <c r="BO567" i="89"/>
  <c r="I571" i="89"/>
  <c r="BO571" i="89"/>
  <c r="I575" i="89"/>
  <c r="BJ575" i="89" s="1"/>
  <c r="BO575" i="89"/>
  <c r="I579" i="89"/>
  <c r="BJ579" i="89" s="1"/>
  <c r="BO579" i="89"/>
  <c r="I583" i="89"/>
  <c r="BO583" i="89"/>
  <c r="I587" i="89"/>
  <c r="BO587" i="89"/>
  <c r="I591" i="89"/>
  <c r="BJ591" i="89" s="1"/>
  <c r="BO591" i="89"/>
  <c r="I595" i="89"/>
  <c r="BJ595" i="89" s="1"/>
  <c r="BO595" i="89"/>
  <c r="I599" i="89"/>
  <c r="BO599" i="89"/>
  <c r="I603" i="89"/>
  <c r="BO603" i="89"/>
  <c r="I607" i="89"/>
  <c r="BJ607" i="89" s="1"/>
  <c r="BO607" i="89"/>
  <c r="I611" i="89"/>
  <c r="BJ611" i="89" s="1"/>
  <c r="BO611" i="89"/>
  <c r="I615" i="89"/>
  <c r="BO615" i="89"/>
  <c r="I619" i="89"/>
  <c r="BO619" i="89"/>
  <c r="I623" i="89"/>
  <c r="BJ623" i="89" s="1"/>
  <c r="BO623" i="89"/>
  <c r="I627" i="89"/>
  <c r="BO627" i="89"/>
  <c r="I631" i="89"/>
  <c r="BO631" i="89"/>
  <c r="I635" i="89"/>
  <c r="BO635" i="89"/>
  <c r="I639" i="89"/>
  <c r="BJ639" i="89" s="1"/>
  <c r="BO639" i="89"/>
  <c r="I643" i="89"/>
  <c r="BJ643" i="89" s="1"/>
  <c r="BO643" i="89"/>
  <c r="I647" i="89"/>
  <c r="BO647" i="89"/>
  <c r="I651" i="89"/>
  <c r="BO651" i="89"/>
  <c r="I655" i="89"/>
  <c r="BJ655" i="89" s="1"/>
  <c r="BO655" i="89"/>
  <c r="I659" i="89"/>
  <c r="BJ659" i="89" s="1"/>
  <c r="BO659" i="89"/>
  <c r="I663" i="89"/>
  <c r="BO663" i="89"/>
  <c r="I667" i="89"/>
  <c r="BO667" i="89"/>
  <c r="I671" i="89"/>
  <c r="BJ671" i="89" s="1"/>
  <c r="BO671" i="89"/>
  <c r="I675" i="89"/>
  <c r="BJ675" i="89" s="1"/>
  <c r="BO675" i="89"/>
  <c r="I679" i="89"/>
  <c r="BO679" i="89"/>
  <c r="I683" i="89"/>
  <c r="BO683" i="89"/>
  <c r="I687" i="89"/>
  <c r="BJ687" i="89" s="1"/>
  <c r="BO687" i="89"/>
  <c r="I691" i="89"/>
  <c r="BJ691" i="89" s="1"/>
  <c r="BO691" i="89"/>
  <c r="I695" i="89"/>
  <c r="BO695" i="89"/>
  <c r="I699" i="89"/>
  <c r="BO699" i="89"/>
  <c r="I703" i="89"/>
  <c r="BJ703" i="89" s="1"/>
  <c r="BO703" i="89"/>
  <c r="I707" i="89"/>
  <c r="BJ707" i="89" s="1"/>
  <c r="BO707" i="89"/>
  <c r="I711" i="89"/>
  <c r="BO711" i="89"/>
  <c r="I715" i="89"/>
  <c r="BO715" i="89"/>
  <c r="I719" i="89"/>
  <c r="BJ719" i="89" s="1"/>
  <c r="BO719" i="89"/>
  <c r="I723" i="89"/>
  <c r="BJ723" i="89" s="1"/>
  <c r="BO723" i="89"/>
  <c r="I727" i="89"/>
  <c r="BO727" i="89"/>
  <c r="I731" i="89"/>
  <c r="BO731" i="89"/>
  <c r="I735" i="89"/>
  <c r="BJ735" i="89" s="1"/>
  <c r="BO735" i="89"/>
  <c r="I739" i="89"/>
  <c r="BJ739" i="89" s="1"/>
  <c r="BO739" i="89"/>
  <c r="I743" i="89"/>
  <c r="BO743" i="89"/>
  <c r="I747" i="89"/>
  <c r="BO747" i="89"/>
  <c r="I751" i="89"/>
  <c r="BJ751" i="89" s="1"/>
  <c r="BO751" i="89"/>
  <c r="I755" i="89"/>
  <c r="BO755" i="89"/>
  <c r="I759" i="89"/>
  <c r="BO759" i="89"/>
  <c r="I763" i="89"/>
  <c r="BO763" i="89"/>
  <c r="I767" i="89"/>
  <c r="BJ767" i="89" s="1"/>
  <c r="BO767" i="89"/>
  <c r="I771" i="89"/>
  <c r="BJ771" i="89" s="1"/>
  <c r="BO771" i="89"/>
  <c r="I775" i="89"/>
  <c r="BO775" i="89"/>
  <c r="I779" i="89"/>
  <c r="BO779" i="89"/>
  <c r="I783" i="89"/>
  <c r="BJ783" i="89" s="1"/>
  <c r="BO783" i="89"/>
  <c r="I787" i="89"/>
  <c r="BJ787" i="89" s="1"/>
  <c r="BO787" i="89"/>
  <c r="I791" i="89"/>
  <c r="BO791" i="89"/>
  <c r="I795" i="89"/>
  <c r="BO795" i="89"/>
  <c r="I799" i="89"/>
  <c r="BJ799" i="89" s="1"/>
  <c r="BO799" i="89"/>
  <c r="I803" i="89"/>
  <c r="BJ803" i="89" s="1"/>
  <c r="BO803" i="89"/>
  <c r="I807" i="89"/>
  <c r="BO807" i="89"/>
  <c r="I811" i="89"/>
  <c r="BO811" i="89"/>
  <c r="I815" i="89"/>
  <c r="BJ815" i="89" s="1"/>
  <c r="BO815" i="89"/>
  <c r="I819" i="89"/>
  <c r="BJ819" i="89" s="1"/>
  <c r="BO819" i="89"/>
  <c r="I823" i="89"/>
  <c r="BO823" i="89"/>
  <c r="I827" i="89"/>
  <c r="BO827" i="89"/>
  <c r="I831" i="89"/>
  <c r="BJ831" i="89" s="1"/>
  <c r="BO831" i="89"/>
  <c r="I835" i="89"/>
  <c r="BJ835" i="89" s="1"/>
  <c r="BO835" i="89"/>
  <c r="I839" i="89"/>
  <c r="BO839" i="89"/>
  <c r="I843" i="89"/>
  <c r="BO843" i="89"/>
  <c r="I847" i="89"/>
  <c r="BJ847" i="89" s="1"/>
  <c r="BO847" i="89"/>
  <c r="I851" i="89"/>
  <c r="BJ851" i="89" s="1"/>
  <c r="BO851" i="89"/>
  <c r="I855" i="89"/>
  <c r="BO855" i="89"/>
  <c r="I859" i="89"/>
  <c r="BO859" i="89"/>
  <c r="I863" i="89"/>
  <c r="BJ863" i="89" s="1"/>
  <c r="BO863" i="89"/>
  <c r="I867" i="89"/>
  <c r="BJ867" i="89" s="1"/>
  <c r="BO867" i="89"/>
  <c r="I871" i="89"/>
  <c r="BO871" i="89"/>
  <c r="I875" i="89"/>
  <c r="BO875" i="89"/>
  <c r="I879" i="89"/>
  <c r="BJ879" i="89" s="1"/>
  <c r="BO879" i="89"/>
  <c r="I883" i="89"/>
  <c r="BO883" i="89"/>
  <c r="I887" i="89"/>
  <c r="BO887" i="89"/>
  <c r="I891" i="89"/>
  <c r="BO891" i="89"/>
  <c r="I895" i="89"/>
  <c r="BJ895" i="89" s="1"/>
  <c r="BO895" i="89"/>
  <c r="I899" i="89"/>
  <c r="BJ899" i="89" s="1"/>
  <c r="BO899" i="89"/>
  <c r="I903" i="89"/>
  <c r="BO903" i="89"/>
  <c r="I907" i="89"/>
  <c r="BO907" i="89"/>
  <c r="I911" i="89"/>
  <c r="BJ911" i="89" s="1"/>
  <c r="BO911" i="89"/>
  <c r="I915" i="89"/>
  <c r="BJ915" i="89" s="1"/>
  <c r="BO915" i="89"/>
  <c r="I919" i="89"/>
  <c r="BO919" i="89"/>
  <c r="I923" i="89"/>
  <c r="BO923" i="89"/>
  <c r="I927" i="89"/>
  <c r="BJ927" i="89" s="1"/>
  <c r="BO927" i="89"/>
  <c r="I931" i="89"/>
  <c r="BJ931" i="89" s="1"/>
  <c r="BO931" i="89"/>
  <c r="I935" i="89"/>
  <c r="BO935" i="89"/>
  <c r="I939" i="89"/>
  <c r="BO939" i="89"/>
  <c r="I943" i="89"/>
  <c r="BJ943" i="89" s="1"/>
  <c r="BO943" i="89"/>
  <c r="I947" i="89"/>
  <c r="BJ947" i="89" s="1"/>
  <c r="BO947" i="89"/>
  <c r="I951" i="89"/>
  <c r="BO951" i="89"/>
  <c r="I955" i="89"/>
  <c r="BO955" i="89"/>
  <c r="I959" i="89"/>
  <c r="BJ959" i="89" s="1"/>
  <c r="BO959" i="89"/>
  <c r="I963" i="89"/>
  <c r="BJ963" i="89" s="1"/>
  <c r="BO963" i="89"/>
  <c r="I967" i="89"/>
  <c r="BO967" i="89"/>
  <c r="I971" i="89"/>
  <c r="BO971" i="89"/>
  <c r="I975" i="89"/>
  <c r="BJ975" i="89" s="1"/>
  <c r="BO975" i="89"/>
  <c r="I979" i="89"/>
  <c r="BJ979" i="89" s="1"/>
  <c r="BO979" i="89"/>
  <c r="I983" i="89"/>
  <c r="BO983" i="89"/>
  <c r="I987" i="89"/>
  <c r="BO987" i="89"/>
  <c r="I991" i="89"/>
  <c r="BJ991" i="89" s="1"/>
  <c r="BO991" i="89"/>
  <c r="I995" i="89"/>
  <c r="BJ995" i="89" s="1"/>
  <c r="BO995" i="89"/>
  <c r="I999" i="89"/>
  <c r="BJ999" i="89" s="1"/>
  <c r="BO999" i="89"/>
  <c r="I1003" i="89"/>
  <c r="BO1003" i="89"/>
  <c r="I1007" i="89"/>
  <c r="BJ1007" i="89" s="1"/>
  <c r="BO1007" i="89"/>
  <c r="I1011" i="89"/>
  <c r="BO1011" i="89"/>
  <c r="I1015" i="89"/>
  <c r="BO1015" i="89"/>
  <c r="I1019" i="89"/>
  <c r="BO1019" i="89"/>
  <c r="I1023" i="89"/>
  <c r="BO1023" i="89"/>
  <c r="I1027" i="89"/>
  <c r="BJ1027" i="89" s="1"/>
  <c r="BO1027" i="89"/>
  <c r="I1031" i="89"/>
  <c r="BO1031" i="89"/>
  <c r="I1035" i="89"/>
  <c r="BO1035" i="89"/>
  <c r="I1039" i="89"/>
  <c r="BJ1039" i="89" s="1"/>
  <c r="BO1039" i="89"/>
  <c r="I1043" i="89"/>
  <c r="BJ1043" i="89" s="1"/>
  <c r="BO1043" i="89"/>
  <c r="I1047" i="89"/>
  <c r="BO1047" i="89"/>
  <c r="I1051" i="89"/>
  <c r="BO1051" i="89"/>
  <c r="I1055" i="89"/>
  <c r="BO1055" i="89"/>
  <c r="I1059" i="89"/>
  <c r="BJ1059" i="89" s="1"/>
  <c r="BO1059" i="89"/>
  <c r="I1063" i="89"/>
  <c r="BO1063" i="89"/>
  <c r="I1067" i="89"/>
  <c r="BO1067" i="89"/>
  <c r="I1071" i="89"/>
  <c r="BJ1071" i="89" s="1"/>
  <c r="BO1071" i="89"/>
  <c r="I1075" i="89"/>
  <c r="BJ1075" i="89" s="1"/>
  <c r="BO1075" i="89"/>
  <c r="I1079" i="89"/>
  <c r="BO1079" i="89"/>
  <c r="I1083" i="89"/>
  <c r="BO1083" i="89"/>
  <c r="I1087" i="89"/>
  <c r="BO1087" i="89"/>
  <c r="I1091" i="89"/>
  <c r="BJ1091" i="89" s="1"/>
  <c r="BO1091" i="89"/>
  <c r="I1095" i="89"/>
  <c r="BO1095" i="89"/>
  <c r="I1099" i="89"/>
  <c r="BO1099" i="89"/>
  <c r="I1103" i="89"/>
  <c r="BJ1103" i="89" s="1"/>
  <c r="BO1103" i="89"/>
  <c r="I1107" i="89"/>
  <c r="BJ1107" i="89" s="1"/>
  <c r="BO1107" i="89"/>
  <c r="I1111" i="89"/>
  <c r="BO1111" i="89"/>
  <c r="I1115" i="89"/>
  <c r="BO1115" i="89"/>
  <c r="I1119" i="89"/>
  <c r="BO1119" i="89"/>
  <c r="I1123" i="89"/>
  <c r="BJ1123" i="89" s="1"/>
  <c r="BO1123" i="89"/>
  <c r="I1127" i="89"/>
  <c r="BO1127" i="89"/>
  <c r="I1131" i="89"/>
  <c r="BO1131" i="89"/>
  <c r="I1135" i="89"/>
  <c r="BJ1135" i="89" s="1"/>
  <c r="BO1135" i="89"/>
  <c r="I1139" i="89"/>
  <c r="BO1139" i="89"/>
  <c r="I1143" i="89"/>
  <c r="BO1143" i="89"/>
  <c r="I1147" i="89"/>
  <c r="BO1147" i="89"/>
  <c r="I1151" i="89"/>
  <c r="BO1151" i="89"/>
  <c r="I1155" i="89"/>
  <c r="BJ1155" i="89" s="1"/>
  <c r="BO1155" i="89"/>
  <c r="I1159" i="89"/>
  <c r="BO1159" i="89"/>
  <c r="I1163" i="89"/>
  <c r="BO1163" i="89"/>
  <c r="I1167" i="89"/>
  <c r="BJ1167" i="89" s="1"/>
  <c r="BO1167" i="89"/>
  <c r="I1171" i="89"/>
  <c r="BJ1171" i="89" s="1"/>
  <c r="BO1171" i="89"/>
  <c r="I1175" i="89"/>
  <c r="BO1175" i="89"/>
  <c r="I1179" i="89"/>
  <c r="BO1179" i="89"/>
  <c r="I1183" i="89"/>
  <c r="BO1183" i="89"/>
  <c r="I1187" i="89"/>
  <c r="BJ1187" i="89" s="1"/>
  <c r="BO1187" i="89"/>
  <c r="I1191" i="89"/>
  <c r="BO1191" i="89"/>
  <c r="I1195" i="89"/>
  <c r="BO1195" i="89"/>
  <c r="I1199" i="89"/>
  <c r="BJ1199" i="89" s="1"/>
  <c r="BO1199" i="89"/>
  <c r="I1203" i="89"/>
  <c r="BJ1203" i="89" s="1"/>
  <c r="BO1203" i="89"/>
  <c r="I1207" i="89"/>
  <c r="BO1207" i="89"/>
  <c r="I1211" i="89"/>
  <c r="BO1211" i="89"/>
  <c r="I1215" i="89"/>
  <c r="BO1215" i="89"/>
  <c r="I1219" i="89"/>
  <c r="BJ1219" i="89" s="1"/>
  <c r="BO1219" i="89"/>
  <c r="I1223" i="89"/>
  <c r="BO1223" i="89"/>
  <c r="I1227" i="89"/>
  <c r="BO1227" i="89"/>
  <c r="I1231" i="89"/>
  <c r="BJ1231" i="89" s="1"/>
  <c r="BO1231" i="89"/>
  <c r="I1235" i="89"/>
  <c r="BJ1235" i="89" s="1"/>
  <c r="BO1235" i="89"/>
  <c r="I1239" i="89"/>
  <c r="BO1239" i="89"/>
  <c r="I1243" i="89"/>
  <c r="BO1243" i="89"/>
  <c r="I1247" i="89"/>
  <c r="BO1247" i="89"/>
  <c r="I1251" i="89"/>
  <c r="BJ1251" i="89" s="1"/>
  <c r="BO1251" i="89"/>
  <c r="I1255" i="89"/>
  <c r="BO1255" i="89"/>
  <c r="I1259" i="89"/>
  <c r="BO1259" i="89"/>
  <c r="I1263" i="89"/>
  <c r="BJ1263" i="89" s="1"/>
  <c r="BO1263" i="89"/>
  <c r="I1267" i="89"/>
  <c r="BO1267" i="89"/>
  <c r="I1271" i="89"/>
  <c r="BO1271" i="89"/>
  <c r="I1275" i="89"/>
  <c r="BO1275" i="89"/>
  <c r="I1279" i="89"/>
  <c r="BO1279" i="89"/>
  <c r="I1283" i="89"/>
  <c r="BJ1283" i="89" s="1"/>
  <c r="BO1283" i="89"/>
  <c r="I1287" i="89"/>
  <c r="BO1287" i="89"/>
  <c r="I1291" i="89"/>
  <c r="BO1291" i="89"/>
  <c r="I1295" i="89"/>
  <c r="BJ1295" i="89" s="1"/>
  <c r="BO1295" i="89"/>
  <c r="I1299" i="89"/>
  <c r="BJ1299" i="89" s="1"/>
  <c r="BO1299" i="89"/>
  <c r="I1303" i="89"/>
  <c r="BO1303" i="89"/>
  <c r="I1307" i="89"/>
  <c r="BO1307" i="89"/>
  <c r="I1311" i="89"/>
  <c r="BO1311" i="89"/>
  <c r="I1315" i="89"/>
  <c r="BJ1315" i="89" s="1"/>
  <c r="BO1315" i="89"/>
  <c r="I1319" i="89"/>
  <c r="BO1319" i="89"/>
  <c r="I1323" i="89"/>
  <c r="BO1323" i="89"/>
  <c r="I1327" i="89"/>
  <c r="BJ1327" i="89" s="1"/>
  <c r="BO1327" i="89"/>
  <c r="I1331" i="89"/>
  <c r="BJ1331" i="89" s="1"/>
  <c r="BO1331" i="89"/>
  <c r="I1335" i="89"/>
  <c r="BO1335" i="89"/>
  <c r="I1339" i="89"/>
  <c r="BO1339" i="89"/>
  <c r="I1343" i="89"/>
  <c r="BO1343" i="89"/>
  <c r="I1347" i="89"/>
  <c r="BJ1347" i="89" s="1"/>
  <c r="BO1347" i="89"/>
  <c r="I1351" i="89"/>
  <c r="BO1351" i="89"/>
  <c r="I1355" i="89"/>
  <c r="BO1355" i="89"/>
  <c r="I1359" i="89"/>
  <c r="BJ1359" i="89" s="1"/>
  <c r="BO1359" i="89"/>
  <c r="I1363" i="89"/>
  <c r="BJ1363" i="89" s="1"/>
  <c r="BO1363" i="89"/>
  <c r="I1367" i="89"/>
  <c r="BO1367" i="89"/>
  <c r="I1371" i="89"/>
  <c r="BO1371" i="89"/>
  <c r="I1375" i="89"/>
  <c r="BO1375" i="89"/>
  <c r="I1379" i="89"/>
  <c r="BJ1379" i="89" s="1"/>
  <c r="BO1379" i="89"/>
  <c r="I1383" i="89"/>
  <c r="BO1383" i="89"/>
  <c r="I1387" i="89"/>
  <c r="BO1387" i="89"/>
  <c r="I1391" i="89"/>
  <c r="BJ1391" i="89" s="1"/>
  <c r="BO1391" i="89"/>
  <c r="I1395" i="89"/>
  <c r="BO1395" i="89"/>
  <c r="I1399" i="89"/>
  <c r="BO1399" i="89"/>
  <c r="I1403" i="89"/>
  <c r="BO1403" i="89"/>
  <c r="I1407" i="89"/>
  <c r="BO1407" i="89"/>
  <c r="I1411" i="89"/>
  <c r="BJ1411" i="89" s="1"/>
  <c r="BO1411" i="89"/>
  <c r="I1415" i="89"/>
  <c r="BO1415" i="89"/>
  <c r="I1419" i="89"/>
  <c r="BO1419" i="89"/>
  <c r="I1423" i="89"/>
  <c r="BJ1423" i="89" s="1"/>
  <c r="BO1423" i="89"/>
  <c r="I1427" i="89"/>
  <c r="BJ1427" i="89" s="1"/>
  <c r="BO1427" i="89"/>
  <c r="I1431" i="89"/>
  <c r="BO1431" i="89"/>
  <c r="I1435" i="89"/>
  <c r="BO1435" i="89"/>
  <c r="I1439" i="89"/>
  <c r="BO1439" i="89"/>
  <c r="I1443" i="89"/>
  <c r="BJ1443" i="89" s="1"/>
  <c r="BO1443" i="89"/>
  <c r="I1447" i="89"/>
  <c r="BO1447" i="89"/>
  <c r="I1451" i="89"/>
  <c r="BO1451" i="89"/>
  <c r="I1455" i="89"/>
  <c r="BO1455" i="89"/>
  <c r="I1459" i="89"/>
  <c r="BJ1459" i="89" s="1"/>
  <c r="BO1459" i="89"/>
  <c r="I1463" i="89"/>
  <c r="BO1463" i="89"/>
  <c r="I1467" i="89"/>
  <c r="BO1467" i="89"/>
  <c r="I1471" i="89"/>
  <c r="BO1471" i="89"/>
  <c r="I1475" i="89"/>
  <c r="BJ1475" i="89" s="1"/>
  <c r="BO1475" i="89"/>
  <c r="I1479" i="89"/>
  <c r="BO1479" i="89"/>
  <c r="I1483" i="89"/>
  <c r="BO1483" i="89"/>
  <c r="I1487" i="89"/>
  <c r="BJ1487" i="89" s="1"/>
  <c r="BO1487" i="89"/>
  <c r="I1491" i="89"/>
  <c r="BJ1491" i="89" s="1"/>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62" i="89"/>
  <c r="BJ78" i="89"/>
  <c r="BJ94" i="89"/>
  <c r="BJ110" i="89"/>
  <c r="BJ126" i="89"/>
  <c r="BJ142" i="89"/>
  <c r="BJ158" i="89"/>
  <c r="BJ174" i="89"/>
  <c r="BJ190" i="89"/>
  <c r="BJ206" i="89"/>
  <c r="BJ222" i="89"/>
  <c r="BJ238" i="89"/>
  <c r="BJ254" i="89"/>
  <c r="BJ270" i="89"/>
  <c r="BJ286" i="89"/>
  <c r="BJ302" i="89"/>
  <c r="BJ318" i="89"/>
  <c r="BJ334" i="89"/>
  <c r="BJ350" i="89"/>
  <c r="BJ366" i="89"/>
  <c r="BJ382" i="89"/>
  <c r="BJ398" i="89"/>
  <c r="BJ414" i="89"/>
  <c r="BJ430" i="89"/>
  <c r="BJ446" i="89"/>
  <c r="BJ462" i="89"/>
  <c r="BJ478" i="89"/>
  <c r="BJ61" i="89"/>
  <c r="BJ77" i="89"/>
  <c r="BJ93" i="89"/>
  <c r="BJ109" i="89"/>
  <c r="BJ125" i="89"/>
  <c r="BJ141" i="89"/>
  <c r="BJ157" i="89"/>
  <c r="BJ173" i="89"/>
  <c r="BJ189" i="89"/>
  <c r="BJ205" i="89"/>
  <c r="BJ221" i="89"/>
  <c r="BJ237" i="89"/>
  <c r="BJ253" i="89"/>
  <c r="BJ269" i="89"/>
  <c r="BJ285" i="89"/>
  <c r="BJ301" i="89"/>
  <c r="BJ317" i="89"/>
  <c r="BJ333" i="89"/>
  <c r="BJ349" i="89"/>
  <c r="BJ365" i="89"/>
  <c r="BJ381" i="89"/>
  <c r="BJ397" i="89"/>
  <c r="BJ413" i="89"/>
  <c r="BJ429" i="89"/>
  <c r="BJ445" i="89"/>
  <c r="BJ461" i="89"/>
  <c r="BJ60" i="89"/>
  <c r="BJ68" i="89"/>
  <c r="BJ76" i="89"/>
  <c r="BJ92" i="89"/>
  <c r="BJ108" i="89"/>
  <c r="BJ124" i="89"/>
  <c r="BJ132" i="89"/>
  <c r="BJ140" i="89"/>
  <c r="BJ156" i="89"/>
  <c r="BJ172" i="89"/>
  <c r="BJ188" i="89"/>
  <c r="BJ196" i="89"/>
  <c r="BJ204" i="89"/>
  <c r="BJ220" i="89"/>
  <c r="BJ236" i="89"/>
  <c r="BJ252" i="89"/>
  <c r="BJ260" i="89"/>
  <c r="BJ268" i="89"/>
  <c r="BJ284" i="89"/>
  <c r="BJ300" i="89"/>
  <c r="BJ316" i="89"/>
  <c r="BJ324" i="89"/>
  <c r="BJ332" i="89"/>
  <c r="BJ348" i="89"/>
  <c r="BJ364" i="89"/>
  <c r="BJ380" i="89"/>
  <c r="BJ388" i="89"/>
  <c r="BJ392" i="89"/>
  <c r="BJ396" i="89"/>
  <c r="BJ412" i="89"/>
  <c r="BJ428" i="89"/>
  <c r="BJ444" i="89"/>
  <c r="BJ460" i="89"/>
  <c r="BJ476" i="89"/>
  <c r="BJ536" i="89"/>
  <c r="BJ59" i="89"/>
  <c r="BJ75" i="89"/>
  <c r="BJ83" i="89"/>
  <c r="BJ91" i="89"/>
  <c r="BJ107" i="89"/>
  <c r="BJ123" i="89"/>
  <c r="BJ139" i="89"/>
  <c r="BJ147" i="89"/>
  <c r="BJ155" i="89"/>
  <c r="BJ171" i="89"/>
  <c r="BJ187" i="89"/>
  <c r="BJ203" i="89"/>
  <c r="BJ211" i="89"/>
  <c r="BJ219" i="89"/>
  <c r="BJ235" i="89"/>
  <c r="BJ251" i="89"/>
  <c r="BJ267" i="89"/>
  <c r="BJ275" i="89"/>
  <c r="BJ283" i="89"/>
  <c r="BJ299" i="89"/>
  <c r="BJ315" i="89"/>
  <c r="BJ331" i="89"/>
  <c r="BJ339" i="89"/>
  <c r="BJ347" i="89"/>
  <c r="BJ363" i="89"/>
  <c r="BJ379" i="89"/>
  <c r="BJ395" i="89"/>
  <c r="BJ403" i="89"/>
  <c r="BJ411" i="89"/>
  <c r="BJ427" i="89"/>
  <c r="BJ443" i="89"/>
  <c r="BJ459" i="89"/>
  <c r="BJ467" i="89"/>
  <c r="BJ475" i="89"/>
  <c r="BJ490" i="89"/>
  <c r="BJ506" i="89"/>
  <c r="BJ522" i="89"/>
  <c r="BJ530" i="89"/>
  <c r="BJ538" i="89"/>
  <c r="BJ554" i="89"/>
  <c r="BJ570" i="89"/>
  <c r="BJ586" i="89"/>
  <c r="BJ594" i="89"/>
  <c r="BJ602" i="89"/>
  <c r="BJ618" i="89"/>
  <c r="BJ634" i="89"/>
  <c r="BJ650" i="89"/>
  <c r="BJ658" i="89"/>
  <c r="BJ666" i="89"/>
  <c r="BJ682" i="89"/>
  <c r="BJ698" i="89"/>
  <c r="BJ714" i="89"/>
  <c r="BJ722" i="89"/>
  <c r="BJ730" i="89"/>
  <c r="BJ746" i="89"/>
  <c r="BJ762" i="89"/>
  <c r="BJ778" i="89"/>
  <c r="BJ786" i="89"/>
  <c r="BJ794" i="89"/>
  <c r="BJ810" i="89"/>
  <c r="BJ826" i="89"/>
  <c r="BJ842" i="89"/>
  <c r="BJ850" i="89"/>
  <c r="BJ858" i="89"/>
  <c r="BJ874" i="89"/>
  <c r="BJ890" i="89"/>
  <c r="BJ906" i="89"/>
  <c r="BJ914" i="89"/>
  <c r="BJ922" i="89"/>
  <c r="BJ938" i="89"/>
  <c r="BJ954" i="89"/>
  <c r="BJ970" i="89"/>
  <c r="BJ978" i="89"/>
  <c r="BJ986" i="89"/>
  <c r="BJ1002" i="89"/>
  <c r="BJ1018" i="89"/>
  <c r="BJ1034" i="89"/>
  <c r="BJ1042" i="89"/>
  <c r="BJ1050" i="89"/>
  <c r="BJ1066" i="89"/>
  <c r="BJ1082" i="89"/>
  <c r="BJ1098" i="89"/>
  <c r="BJ1106" i="89"/>
  <c r="BJ1114" i="89"/>
  <c r="BJ1130" i="89"/>
  <c r="BJ1146" i="89"/>
  <c r="BJ1162" i="89"/>
  <c r="BJ1170" i="89"/>
  <c r="BJ1178" i="89"/>
  <c r="BJ1194" i="89"/>
  <c r="BJ1210" i="89"/>
  <c r="BJ1226" i="89"/>
  <c r="BJ1234" i="89"/>
  <c r="BJ1242" i="89"/>
  <c r="BJ1258" i="89"/>
  <c r="BJ1274" i="89"/>
  <c r="BJ1314" i="89"/>
  <c r="BJ1442" i="89"/>
  <c r="BJ477" i="89"/>
  <c r="BJ493" i="89"/>
  <c r="BJ517" i="89"/>
  <c r="BJ525" i="89"/>
  <c r="BJ557" i="89"/>
  <c r="BJ589" i="89"/>
  <c r="BJ597" i="89"/>
  <c r="BJ653" i="89"/>
  <c r="BJ685" i="89"/>
  <c r="BJ693" i="89"/>
  <c r="BJ717" i="89"/>
  <c r="BJ781" i="89"/>
  <c r="BJ789" i="89"/>
  <c r="BJ813" i="89"/>
  <c r="BJ845" i="89"/>
  <c r="BJ885" i="89"/>
  <c r="BJ909" i="89"/>
  <c r="BJ941" i="89"/>
  <c r="BJ973" i="89"/>
  <c r="BJ1033" i="89"/>
  <c r="BJ1037" i="89"/>
  <c r="BJ1061" i="89"/>
  <c r="BJ1069" i="89"/>
  <c r="BJ1133" i="89"/>
  <c r="BJ1157" i="89"/>
  <c r="BJ1197" i="89"/>
  <c r="BJ1261" i="89"/>
  <c r="BJ1293" i="89"/>
  <c r="BJ1325" i="89"/>
  <c r="BJ1349" i="89"/>
  <c r="BJ1389" i="89"/>
  <c r="BJ608" i="89"/>
  <c r="BJ632" i="89"/>
  <c r="BJ672" i="89"/>
  <c r="BJ704" i="89"/>
  <c r="BJ720" i="89"/>
  <c r="BJ736" i="89"/>
  <c r="BJ800" i="89"/>
  <c r="BJ808" i="89"/>
  <c r="BJ832" i="89"/>
  <c r="BJ848" i="89"/>
  <c r="BJ864" i="89"/>
  <c r="BJ888" i="89"/>
  <c r="BJ928" i="89"/>
  <c r="BJ960" i="89"/>
  <c r="BJ976" i="89"/>
  <c r="BJ992" i="89"/>
  <c r="BJ1056" i="89"/>
  <c r="BJ1064" i="89"/>
  <c r="BJ1088" i="89"/>
  <c r="BJ1104" i="89"/>
  <c r="BJ1120" i="89"/>
  <c r="BJ1144" i="89"/>
  <c r="BJ1184" i="89"/>
  <c r="BJ1216" i="89"/>
  <c r="BJ1232" i="89"/>
  <c r="BJ1248" i="89"/>
  <c r="BJ1312" i="89"/>
  <c r="BJ499" i="89"/>
  <c r="BJ627" i="89"/>
  <c r="BJ755" i="89"/>
  <c r="BJ883" i="89"/>
  <c r="BJ1011" i="89"/>
  <c r="BJ1139" i="89"/>
  <c r="BJ1267" i="89"/>
  <c r="BJ1395" i="89"/>
  <c r="U96" i="12"/>
  <c r="U63" i="12" s="1"/>
  <c r="U72" i="12" s="1"/>
  <c r="U26" i="12" s="1"/>
  <c r="ES26" i="84" s="1"/>
  <c r="BJ1401" i="89"/>
  <c r="BJ1405" i="89"/>
  <c r="BJ1421" i="89"/>
  <c r="BJ1437" i="89"/>
  <c r="BJ1469" i="89"/>
  <c r="BJ1485" i="89"/>
  <c r="BJ1384"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F49" i="16"/>
  <c r="E49" i="16"/>
  <c r="D122" i="94" l="1"/>
  <c r="D162" i="94"/>
  <c r="MB49" i="84"/>
  <c r="Q10" i="16"/>
  <c r="MC49" i="84"/>
  <c r="Q18" i="16"/>
  <c r="MF49" i="84"/>
  <c r="Q25" i="16"/>
  <c r="T11" i="89"/>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U1428" i="89"/>
  <c r="BQ1412" i="89"/>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U824" i="89"/>
  <c r="BQ808" i="89"/>
  <c r="BS808" i="89"/>
  <c r="BU808" i="89"/>
  <c r="BQ792" i="89"/>
  <c r="BS792" i="89"/>
  <c r="BU792" i="89"/>
  <c r="BQ776" i="89"/>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W1359" i="89" s="1"/>
  <c r="BQ1343" i="89"/>
  <c r="BQ1327" i="89"/>
  <c r="BQ1311" i="89"/>
  <c r="BQ1295" i="89"/>
  <c r="BW1295" i="89" s="1"/>
  <c r="BQ1279" i="89"/>
  <c r="BQ1263" i="89"/>
  <c r="BQ1247" i="89"/>
  <c r="BQ1231" i="89"/>
  <c r="BW1231" i="89" s="1"/>
  <c r="BQ1215" i="89"/>
  <c r="BQ1199" i="89"/>
  <c r="BQ1183" i="89"/>
  <c r="BQ1167" i="89"/>
  <c r="BW1167" i="89" s="1"/>
  <c r="BQ1151" i="89"/>
  <c r="BQ1135" i="89"/>
  <c r="BQ1119" i="89"/>
  <c r="BQ1103" i="89"/>
  <c r="BW1103" i="89" s="1"/>
  <c r="BQ1087" i="89"/>
  <c r="BQ1071" i="89"/>
  <c r="BQ1055" i="89"/>
  <c r="BQ1039" i="89"/>
  <c r="BW1039" i="89" s="1"/>
  <c r="BQ1023" i="89"/>
  <c r="BQ1007" i="89"/>
  <c r="BQ991" i="89"/>
  <c r="BQ975" i="89"/>
  <c r="BW975" i="89" s="1"/>
  <c r="BQ959" i="89"/>
  <c r="BQ943" i="89"/>
  <c r="BQ927" i="89"/>
  <c r="BQ911" i="89"/>
  <c r="BW911" i="89" s="1"/>
  <c r="BQ895" i="89"/>
  <c r="BQ879" i="89"/>
  <c r="BQ863" i="89"/>
  <c r="BQ847" i="89"/>
  <c r="BW847" i="89" s="1"/>
  <c r="BQ831" i="89"/>
  <c r="BQ815" i="89"/>
  <c r="BQ799" i="89"/>
  <c r="BQ783" i="89"/>
  <c r="BW783" i="89" s="1"/>
  <c r="BQ767" i="89"/>
  <c r="BQ751" i="89"/>
  <c r="BQ735" i="89"/>
  <c r="BQ719" i="89"/>
  <c r="BW719" i="89" s="1"/>
  <c r="BQ703" i="89"/>
  <c r="BQ687" i="89"/>
  <c r="BQ671" i="89"/>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1412" i="89" l="1"/>
  <c r="BW671" i="89"/>
  <c r="BW799" i="89"/>
  <c r="BW927" i="89"/>
  <c r="BW850" i="89"/>
  <c r="BW978" i="89"/>
  <c r="BW1362" i="89"/>
  <c r="BW1029" i="89"/>
  <c r="BW568" i="89"/>
  <c r="BW824" i="89"/>
  <c r="BW952" i="89"/>
  <c r="BW788" i="89"/>
  <c r="BW1172" i="89"/>
  <c r="BW721" i="89"/>
  <c r="BW644" i="89"/>
  <c r="BW419" i="89"/>
  <c r="BW776" i="89"/>
  <c r="BW1288" i="89"/>
  <c r="BW1252" i="89"/>
  <c r="BW1428" i="89"/>
  <c r="BW559" i="89"/>
  <c r="BW99" i="89"/>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F53" i="60"/>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A1" i="60"/>
  <c r="MH1" i="84" s="1"/>
  <c r="I215" i="16"/>
  <c r="Q30" i="16" s="1"/>
  <c r="G215" i="16"/>
  <c r="MD215" i="84" s="1"/>
  <c r="I192" i="16"/>
  <c r="I182" i="16"/>
  <c r="Q29" i="16" s="1"/>
  <c r="G182" i="16"/>
  <c r="MD182" i="84" s="1"/>
  <c r="I170" i="16"/>
  <c r="I147" i="16"/>
  <c r="G147" i="16"/>
  <c r="MD147" i="84" s="1"/>
  <c r="I119" i="16"/>
  <c r="Q27" i="16" s="1"/>
  <c r="F119" i="16"/>
  <c r="Q20" i="16" s="1"/>
  <c r="E119" i="16"/>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Q26" i="16" s="1"/>
  <c r="F63" i="16"/>
  <c r="E63" i="16"/>
  <c r="Q11" i="16" s="1"/>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D31" i="16"/>
  <c r="G29" i="16"/>
  <c r="MD29" i="84" s="1"/>
  <c r="G28" i="16"/>
  <c r="MD28" i="84" s="1"/>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J29" i="68"/>
  <c r="LU29" i="84" s="1"/>
  <c r="J28" i="68"/>
  <c r="LU28" i="84" s="1"/>
  <c r="J27" i="68"/>
  <c r="LU27" i="84" s="1"/>
  <c r="J26" i="68"/>
  <c r="LU26" i="84" s="1"/>
  <c r="J25" i="68"/>
  <c r="LU25" i="84" s="1"/>
  <c r="J24" i="68"/>
  <c r="LU24" i="84" s="1"/>
  <c r="J23" i="68"/>
  <c r="LU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O21" i="78" s="1"/>
  <c r="N77" i="78"/>
  <c r="N32" i="78" s="1"/>
  <c r="N21" i="78" s="1"/>
  <c r="M77" i="78"/>
  <c r="M32" i="78" s="1"/>
  <c r="M21" i="78" s="1"/>
  <c r="L77" i="78"/>
  <c r="L32" i="78" s="1"/>
  <c r="K77" i="78"/>
  <c r="K32" i="78" s="1"/>
  <c r="J77" i="78"/>
  <c r="J32" i="78" s="1"/>
  <c r="I77" i="78"/>
  <c r="I32"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MC63" i="84" l="1"/>
  <c r="Q19" i="16"/>
  <c r="MA31" i="84"/>
  <c r="MB119" i="84"/>
  <c r="Q12" i="16"/>
  <c r="R12" i="16" s="1"/>
  <c r="MF192" i="84"/>
  <c r="Q34" i="16"/>
  <c r="R34" i="16" s="1"/>
  <c r="MF147" i="84"/>
  <c r="Q28" i="16"/>
  <c r="R28" i="16" s="1"/>
  <c r="MF170" i="84"/>
  <c r="Q33" i="16"/>
  <c r="R33" i="16" s="1"/>
  <c r="MM53" i="84"/>
  <c r="O5" i="60"/>
  <c r="P5" i="60" s="1"/>
  <c r="MP53" i="84"/>
  <c r="O7" i="60"/>
  <c r="P7" i="60" s="1"/>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N13" i="6" s="1"/>
  <c r="O13" i="6" s="1"/>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O9" i="60" s="1"/>
  <c r="P9" i="60" s="1"/>
  <c r="GJ75" i="84"/>
  <c r="F80" i="8"/>
  <c r="C80" i="8"/>
  <c r="C81" i="8" s="1"/>
  <c r="GH75" i="84"/>
  <c r="BZ105" i="84"/>
  <c r="C189" i="86"/>
  <c r="BZ189" i="84"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G49" i="16"/>
  <c r="MD49" i="84" s="1"/>
  <c r="G63" i="16"/>
  <c r="MD63" i="84" s="1"/>
  <c r="G119" i="16"/>
  <c r="MD119" i="84" s="1"/>
  <c r="R10" i="16"/>
  <c r="R38" i="16"/>
  <c r="F1" i="60"/>
  <c r="MM1" i="84" s="1"/>
  <c r="P44" i="12"/>
  <c r="EN44" i="84" s="1"/>
  <c r="D54" i="3"/>
  <c r="HR54" i="84" s="1"/>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LT3" i="84" l="1"/>
  <c r="I29" i="68"/>
  <c r="LT29" i="84" s="1"/>
  <c r="I27" i="68"/>
  <c r="LT27" i="84" s="1"/>
  <c r="I25" i="68"/>
  <c r="LT25" i="84" s="1"/>
  <c r="I23" i="68"/>
  <c r="LT23" i="84" s="1"/>
  <c r="H29" i="68"/>
  <c r="LS29" i="84" s="1"/>
  <c r="H27" i="68"/>
  <c r="LS27" i="84" s="1"/>
  <c r="H25" i="68"/>
  <c r="LS25" i="84" s="1"/>
  <c r="H23" i="68"/>
  <c r="LS23" i="84" s="1"/>
  <c r="I30" i="68"/>
  <c r="LT30" i="84" s="1"/>
  <c r="I28" i="68"/>
  <c r="LT28" i="84" s="1"/>
  <c r="I26" i="68"/>
  <c r="LT26" i="84" s="1"/>
  <c r="I24" i="68"/>
  <c r="LT24" i="84" s="1"/>
  <c r="H30" i="68"/>
  <c r="LS30" i="84" s="1"/>
  <c r="H28" i="68"/>
  <c r="LS28" i="84" s="1"/>
  <c r="H26" i="68"/>
  <c r="LS26" i="84" s="1"/>
  <c r="H24" i="68"/>
  <c r="LS24" i="84" s="1"/>
  <c r="G30" i="68"/>
  <c r="LR30" i="84" s="1"/>
  <c r="G28" i="68"/>
  <c r="LR28" i="84" s="1"/>
  <c r="G29" i="68"/>
  <c r="LR29" i="84" s="1"/>
  <c r="G27" i="68"/>
  <c r="LR27" i="84" s="1"/>
  <c r="G25" i="68"/>
  <c r="LR25" i="84" s="1"/>
  <c r="G23" i="68"/>
  <c r="LR23" i="84" s="1"/>
  <c r="G24" i="68"/>
  <c r="LR24" i="84" s="1"/>
  <c r="G26" i="68"/>
  <c r="LR26" i="84" s="1"/>
  <c r="P10" i="60"/>
  <c r="C23" i="83" s="1"/>
  <c r="D23" i="83" s="1"/>
  <c r="MB31" i="84"/>
  <c r="Q16" i="16"/>
  <c r="R16" i="16" s="1"/>
  <c r="N12" i="6"/>
  <c r="O12" i="6" s="1"/>
  <c r="G21" i="68"/>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KD78" i="84"/>
  <c r="KA78" i="84"/>
  <c r="JZ78" i="84"/>
  <c r="KB78" i="84"/>
  <c r="KG78" i="84"/>
  <c r="N32" i="10"/>
  <c r="KC78" i="84"/>
  <c r="JY78" i="84"/>
  <c r="KE78" i="84"/>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Q1698" i="94"/>
  <c r="N31" i="97"/>
  <c r="Q1640" i="94" s="1"/>
  <c r="M1698" i="94"/>
  <c r="J31" i="97"/>
  <c r="M1640" i="94" s="1"/>
  <c r="M32" i="97"/>
  <c r="P1641" i="94" s="1"/>
  <c r="P1699" i="94"/>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H281" i="94"/>
  <c r="BI21" i="84"/>
  <c r="H1698" i="94"/>
  <c r="E31" i="97"/>
  <c r="H1640" i="94" s="1"/>
  <c r="N1699" i="94"/>
  <c r="K32" i="97"/>
  <c r="N1641" i="94" s="1"/>
  <c r="G31" i="97"/>
  <c r="J1640" i="94" s="1"/>
  <c r="J1698" i="94"/>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Q8" i="16" s="1"/>
  <c r="R8" i="16" s="1"/>
  <c r="R36" i="16" s="1"/>
  <c r="R39" i="16" s="1"/>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N4" i="6"/>
  <c r="O4" i="6" s="1"/>
  <c r="U53" i="5"/>
  <c r="Z5" i="5" s="1"/>
  <c r="AA5" i="5" s="1"/>
  <c r="U45" i="5"/>
  <c r="C38" i="10"/>
  <c r="C31" i="3"/>
  <c r="G31" i="16"/>
  <c r="MD31" i="84" s="1"/>
  <c r="D27" i="12"/>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J91" i="86"/>
  <c r="CG91" i="84" s="1"/>
  <c r="K91" i="86"/>
  <c r="CH91" i="84" s="1"/>
  <c r="N91" i="86"/>
  <c r="CK91" i="84" s="1"/>
  <c r="D148" i="86"/>
  <c r="G148" i="86"/>
  <c r="L148" i="86"/>
  <c r="K148" i="86"/>
  <c r="G32" i="12"/>
  <c r="G34" i="12"/>
  <c r="EE34" i="84" s="1"/>
  <c r="F34" i="12"/>
  <c r="ED34" i="84" s="1"/>
  <c r="F32" i="12"/>
  <c r="D20" i="86"/>
  <c r="E31" i="12"/>
  <c r="E42" i="12"/>
  <c r="E43" i="12"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E36" i="78" l="1"/>
  <c r="I129" i="6"/>
  <c r="JL129" i="84" s="1"/>
  <c r="E84" i="97"/>
  <c r="G21" i="78"/>
  <c r="BT35" i="84"/>
  <c r="F15" i="90"/>
  <c r="LJ15" i="84" s="1"/>
  <c r="BT76" i="84"/>
  <c r="F14" i="90"/>
  <c r="LJ14" i="84" s="1"/>
  <c r="BT80" i="84"/>
  <c r="F13" i="90"/>
  <c r="LJ13" i="84" s="1"/>
  <c r="F84" i="97"/>
  <c r="I281" i="94"/>
  <c r="BJ21" i="84"/>
  <c r="E62" i="86"/>
  <c r="F36" i="78"/>
  <c r="BJ36" i="84" s="1"/>
  <c r="HY32" i="84"/>
  <c r="D34" i="10"/>
  <c r="IE32" i="84"/>
  <c r="J34" i="10"/>
  <c r="IC32" i="84"/>
  <c r="H34" i="10"/>
  <c r="II32" i="84"/>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H1687" i="94"/>
  <c r="E20" i="97"/>
  <c r="H1629" i="94" s="1"/>
  <c r="P1687" i="94"/>
  <c r="M20" i="97"/>
  <c r="P1629" i="94" s="1"/>
  <c r="N99" i="97"/>
  <c r="BR36" i="84"/>
  <c r="N37" i="78"/>
  <c r="N57" i="78"/>
  <c r="Q296" i="94"/>
  <c r="W32" i="97"/>
  <c r="S1728" i="94"/>
  <c r="U1728" i="94" s="1"/>
  <c r="E1729" i="94"/>
  <c r="O37" i="78"/>
  <c r="O99" i="97"/>
  <c r="R296" i="94"/>
  <c r="O57" i="78"/>
  <c r="BS36" i="84"/>
  <c r="Z4" i="5"/>
  <c r="AA4" i="5" s="1"/>
  <c r="D351" i="94"/>
  <c r="BE133" i="84"/>
  <c r="H1641" i="94"/>
  <c r="T32" i="97"/>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T18" i="91" l="1"/>
  <c r="HL18" i="84" s="1"/>
  <c r="HI18" i="84"/>
  <c r="T17" i="91"/>
  <c r="HL17" i="84" s="1"/>
  <c r="HI17" i="84"/>
  <c r="I296" i="94"/>
  <c r="F57" i="78"/>
  <c r="F99" i="97"/>
  <c r="F37" i="78"/>
  <c r="BK21" i="84"/>
  <c r="P10" i="91"/>
  <c r="HI10" i="84" s="1"/>
  <c r="T19" i="91"/>
  <c r="HI19" i="84"/>
  <c r="H21" i="78"/>
  <c r="I21" i="78" s="1"/>
  <c r="J281" i="94"/>
  <c r="G84" i="97"/>
  <c r="G36" i="78"/>
  <c r="F62" i="86"/>
  <c r="I1687" i="94"/>
  <c r="F20" i="97"/>
  <c r="I1629" i="94" s="1"/>
  <c r="Z4" i="4"/>
  <c r="AA4" i="4" s="1"/>
  <c r="AA5" i="4" s="1"/>
  <c r="C21" i="83" s="1"/>
  <c r="D21" i="83" s="1"/>
  <c r="D15" i="90"/>
  <c r="LH13" i="84"/>
  <c r="E13" i="90"/>
  <c r="LI13" i="84" s="1"/>
  <c r="D14" i="90"/>
  <c r="C17" i="83"/>
  <c r="D17" i="83" s="1"/>
  <c r="C3" i="10"/>
  <c r="HX3" i="84" s="1"/>
  <c r="R1" i="10"/>
  <c r="D36" i="10"/>
  <c r="HY36" i="84" s="1"/>
  <c r="HY34" i="84"/>
  <c r="IF34" i="84"/>
  <c r="K36" i="10"/>
  <c r="IF36" i="84" s="1"/>
  <c r="IA34" i="84"/>
  <c r="F36" i="10"/>
  <c r="IA36" i="84" s="1"/>
  <c r="IH34" i="84"/>
  <c r="M36" i="10"/>
  <c r="IH36" i="84" s="1"/>
  <c r="HZ34" i="84"/>
  <c r="E36" i="10"/>
  <c r="HZ36" i="84" s="1"/>
  <c r="IJ32" i="84"/>
  <c r="I36" i="10"/>
  <c r="ID36" i="84" s="1"/>
  <c r="ID34" i="84"/>
  <c r="H36" i="10"/>
  <c r="IC36" i="84" s="1"/>
  <c r="IC34" i="84"/>
  <c r="G36" i="10"/>
  <c r="IB36" i="84" s="1"/>
  <c r="IB34" i="84"/>
  <c r="IG34" i="84"/>
  <c r="L36" i="10"/>
  <c r="IG36" i="84" s="1"/>
  <c r="IE34" i="84"/>
  <c r="J36" i="10"/>
  <c r="IE36" i="84" s="1"/>
  <c r="S1641" i="94"/>
  <c r="U1641" i="94" s="1"/>
  <c r="U32" i="97"/>
  <c r="P1702" i="94"/>
  <c r="M35" i="97"/>
  <c r="P1644" i="94" s="1"/>
  <c r="F35" i="97"/>
  <c r="I1644" i="94" s="1"/>
  <c r="I1702" i="94"/>
  <c r="N100" i="97"/>
  <c r="Q297" i="94"/>
  <c r="BR37" i="84"/>
  <c r="H1702" i="94"/>
  <c r="E35" i="97"/>
  <c r="H1644" i="94" s="1"/>
  <c r="X32" i="97"/>
  <c r="S1755" i="94"/>
  <c r="U1755" i="94" s="1"/>
  <c r="R1702" i="94"/>
  <c r="O35" i="97"/>
  <c r="R1644" i="94" s="1"/>
  <c r="Q1702" i="94"/>
  <c r="N35" i="97"/>
  <c r="Q1644" i="94" s="1"/>
  <c r="O100" i="97"/>
  <c r="R297" i="94"/>
  <c r="BS37" i="84"/>
  <c r="E100" i="97"/>
  <c r="H297" i="94"/>
  <c r="BI37" i="84"/>
  <c r="F100" i="97"/>
  <c r="I297" i="94"/>
  <c r="BJ37" i="84"/>
  <c r="M100" i="97"/>
  <c r="BQ37" i="84"/>
  <c r="P297" i="94"/>
  <c r="LS151" i="84"/>
  <c r="H157" i="68"/>
  <c r="LS157" i="84" s="1"/>
  <c r="LT151" i="84"/>
  <c r="I157" i="68"/>
  <c r="LT157" i="84" s="1"/>
  <c r="X31" i="97"/>
  <c r="S1754" i="94"/>
  <c r="U1754" i="94" s="1"/>
  <c r="G1702" i="94"/>
  <c r="D35" i="97"/>
  <c r="U31" i="97"/>
  <c r="S1640" i="94"/>
  <c r="U1640" i="94" s="1"/>
  <c r="D100" i="97"/>
  <c r="AH2" i="78"/>
  <c r="G297" i="94"/>
  <c r="AH3" i="78"/>
  <c r="BH37" i="84"/>
  <c r="AH4" i="78"/>
  <c r="G1629" i="94"/>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O134" i="86"/>
  <c r="CL134" i="84" s="1"/>
  <c r="O165" i="86"/>
  <c r="CL165" i="84" s="1"/>
  <c r="O48" i="86"/>
  <c r="CL48" i="84" s="1"/>
  <c r="O19" i="86"/>
  <c r="CL19" i="84" s="1"/>
  <c r="O106" i="86"/>
  <c r="CL106" i="84" s="1"/>
  <c r="O77" i="86"/>
  <c r="CL77" i="84" s="1"/>
  <c r="J21" i="78" l="1"/>
  <c r="K21" i="78" s="1"/>
  <c r="L21" i="78" s="1"/>
  <c r="I84" i="97"/>
  <c r="L281" i="94"/>
  <c r="H62" i="86"/>
  <c r="BM21" i="84"/>
  <c r="I36" i="78"/>
  <c r="T10" i="91"/>
  <c r="S1319" i="94" s="1"/>
  <c r="U1319" i="94" s="1"/>
  <c r="D38" i="10"/>
  <c r="E37" i="10" s="1"/>
  <c r="P48" i="91"/>
  <c r="HI48" i="84" s="1"/>
  <c r="S1324" i="94"/>
  <c r="U1324" i="94" s="1"/>
  <c r="HL19" i="84"/>
  <c r="W17" i="91"/>
  <c r="W46" i="91" s="1"/>
  <c r="Z4" i="91" s="1"/>
  <c r="AA4" i="91" s="1"/>
  <c r="V17" i="91"/>
  <c r="V46" i="91" s="1"/>
  <c r="Z3" i="91" s="1"/>
  <c r="AA3" i="91" s="1"/>
  <c r="G62" i="86"/>
  <c r="H84" i="97"/>
  <c r="K281" i="94"/>
  <c r="BL21" i="84"/>
  <c r="H36" i="78"/>
  <c r="G37" i="78"/>
  <c r="G99" i="97"/>
  <c r="J296" i="94"/>
  <c r="G57" i="78"/>
  <c r="BK36" i="84"/>
  <c r="J1687" i="94"/>
  <c r="G20" i="97"/>
  <c r="LH14" i="84"/>
  <c r="E14" i="90"/>
  <c r="LI14" i="84" s="1"/>
  <c r="LH15" i="84"/>
  <c r="E15" i="90"/>
  <c r="LI15" i="84" s="1"/>
  <c r="S1782" i="94"/>
  <c r="U1782" i="94" s="1"/>
  <c r="Y32" i="97"/>
  <c r="S1781" i="94"/>
  <c r="U1781" i="94" s="1"/>
  <c r="Y31" i="97"/>
  <c r="P1703" i="94"/>
  <c r="M36" i="97"/>
  <c r="P1645" i="94" s="1"/>
  <c r="Q1703" i="94"/>
  <c r="N36" i="97"/>
  <c r="Q1645" i="94" s="1"/>
  <c r="E36" i="97"/>
  <c r="H1645" i="94" s="1"/>
  <c r="H1703" i="94"/>
  <c r="R1703" i="94"/>
  <c r="O36" i="97"/>
  <c r="R1645" i="94" s="1"/>
  <c r="I1703" i="94"/>
  <c r="F36" i="97"/>
  <c r="I1645" i="94" s="1"/>
  <c r="G1644" i="94"/>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T7" i="8"/>
  <c r="D204" i="86"/>
  <c r="CA204" i="84" s="1"/>
  <c r="H72" i="12"/>
  <c r="F73" i="12"/>
  <c r="H31" i="12"/>
  <c r="G20" i="86"/>
  <c r="H42" i="12"/>
  <c r="H43" i="12" s="1"/>
  <c r="I72" i="12"/>
  <c r="G73" i="12"/>
  <c r="K72" i="12"/>
  <c r="D13" i="83"/>
  <c r="B20" i="83"/>
  <c r="C20" i="83"/>
  <c r="D20" i="83" s="1"/>
  <c r="Z1" i="4"/>
  <c r="G3" i="4"/>
  <c r="C3" i="4"/>
  <c r="KO3" i="84" s="1"/>
  <c r="K62" i="86" l="1"/>
  <c r="L84" i="97"/>
  <c r="O281" i="94"/>
  <c r="BP21" i="84"/>
  <c r="L36" i="78"/>
  <c r="S24" i="78"/>
  <c r="X9" i="78"/>
  <c r="Y9" i="78" s="1"/>
  <c r="J84" i="97"/>
  <c r="P84" i="97" s="1"/>
  <c r="M281" i="94"/>
  <c r="I62" i="86"/>
  <c r="J36" i="78"/>
  <c r="BN36" i="84" s="1"/>
  <c r="P21" i="78"/>
  <c r="Q21" i="78" s="1"/>
  <c r="BN21" i="84"/>
  <c r="K36" i="78"/>
  <c r="J62" i="86"/>
  <c r="K84" i="97"/>
  <c r="S20" i="97" s="1"/>
  <c r="N281" i="94"/>
  <c r="BO21" i="84"/>
  <c r="M296" i="94"/>
  <c r="HY38" i="84"/>
  <c r="I20" i="97"/>
  <c r="L1629" i="94" s="1"/>
  <c r="L1687" i="94"/>
  <c r="I37" i="78"/>
  <c r="BM36" i="84"/>
  <c r="I57" i="78"/>
  <c r="I99" i="97"/>
  <c r="L296" i="94"/>
  <c r="AA5" i="91"/>
  <c r="C15" i="83" s="1"/>
  <c r="D15" i="83" s="1"/>
  <c r="T48" i="91"/>
  <c r="S1353" i="94" s="1"/>
  <c r="U1353" i="94" s="1"/>
  <c r="HL10" i="84"/>
  <c r="H99" i="97"/>
  <c r="BL36" i="84"/>
  <c r="H57" i="78"/>
  <c r="K296" i="94"/>
  <c r="H37" i="78"/>
  <c r="AH6" i="78" s="1"/>
  <c r="H20" i="97"/>
  <c r="K1629" i="94" s="1"/>
  <c r="K1687" i="94"/>
  <c r="J1629" i="94"/>
  <c r="J1702" i="94"/>
  <c r="G35" i="97"/>
  <c r="AH5" i="78"/>
  <c r="G100" i="97"/>
  <c r="J297" i="94"/>
  <c r="BK37" i="84"/>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L57" i="78" l="1"/>
  <c r="BP36" i="84"/>
  <c r="L37" i="78"/>
  <c r="L99" i="97"/>
  <c r="O296" i="94"/>
  <c r="M1687" i="94"/>
  <c r="J20" i="97"/>
  <c r="M1629" i="94" s="1"/>
  <c r="O1687" i="94"/>
  <c r="L20" i="97"/>
  <c r="O1629" i="94" s="1"/>
  <c r="P36" i="78"/>
  <c r="BT36" i="84" s="1"/>
  <c r="BT21" i="84"/>
  <c r="J57" i="78"/>
  <c r="J37" i="78"/>
  <c r="M297" i="94" s="1"/>
  <c r="J99" i="97"/>
  <c r="J35" i="97" s="1"/>
  <c r="M1644" i="94" s="1"/>
  <c r="N1687" i="94"/>
  <c r="K20" i="97"/>
  <c r="N1629" i="94" s="1"/>
  <c r="K99" i="97"/>
  <c r="BO36" i="84"/>
  <c r="K37" i="78"/>
  <c r="N296" i="94"/>
  <c r="K57" i="78"/>
  <c r="AH7" i="78"/>
  <c r="B15" i="83"/>
  <c r="C5" i="91"/>
  <c r="GV5" i="84" s="1"/>
  <c r="I35" i="97"/>
  <c r="L1644" i="94" s="1"/>
  <c r="L1702" i="94"/>
  <c r="Z1" i="91"/>
  <c r="I100" i="97"/>
  <c r="L297" i="94"/>
  <c r="BM37" i="84"/>
  <c r="HL48" i="84"/>
  <c r="S281" i="94"/>
  <c r="U281" i="94" s="1"/>
  <c r="BU21" i="84"/>
  <c r="H100" i="97"/>
  <c r="BL37" i="84"/>
  <c r="K297" i="94"/>
  <c r="S1687" i="94"/>
  <c r="U1687" i="94" s="1"/>
  <c r="P20" i="97"/>
  <c r="W20" i="97"/>
  <c r="S1716" i="94"/>
  <c r="U1716" i="94" s="1"/>
  <c r="E1717" i="94"/>
  <c r="H35" i="97"/>
  <c r="K1644" i="94" s="1"/>
  <c r="K1702" i="94"/>
  <c r="G36" i="97"/>
  <c r="J1703" i="94"/>
  <c r="J1644" i="94"/>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O1702" i="94" l="1"/>
  <c r="L35" i="97"/>
  <c r="O1644" i="94" s="1"/>
  <c r="L100" i="97"/>
  <c r="O297" i="94"/>
  <c r="BP37" i="84"/>
  <c r="J100" i="97"/>
  <c r="M1703" i="94" s="1"/>
  <c r="P99" i="97"/>
  <c r="P35" i="97" s="1"/>
  <c r="S1644" i="94" s="1"/>
  <c r="U1644" i="94" s="1"/>
  <c r="P37" i="78"/>
  <c r="BT37" i="84" s="1"/>
  <c r="Q36" i="78"/>
  <c r="Q37" i="78" s="1"/>
  <c r="S297" i="94" s="1"/>
  <c r="U297" i="94" s="1"/>
  <c r="AH8" i="78"/>
  <c r="BN37" i="84"/>
  <c r="AH9" i="78"/>
  <c r="E61" i="78" s="1"/>
  <c r="BI62" i="84" s="1"/>
  <c r="T20" i="97"/>
  <c r="X20" i="97" s="1"/>
  <c r="M1702" i="94"/>
  <c r="AH11" i="78"/>
  <c r="K100" i="97"/>
  <c r="BO37" i="84"/>
  <c r="N297" i="94"/>
  <c r="AH12" i="78"/>
  <c r="S36" i="97"/>
  <c r="W36" i="97" s="1"/>
  <c r="N1702" i="94"/>
  <c r="K35" i="97"/>
  <c r="AH10" i="78"/>
  <c r="S35" i="97"/>
  <c r="L1703" i="94"/>
  <c r="I36" i="97"/>
  <c r="L1645" i="94" s="1"/>
  <c r="U20" i="97"/>
  <c r="S1629" i="94"/>
  <c r="U1629" i="94" s="1"/>
  <c r="K1703" i="94"/>
  <c r="H36" i="97"/>
  <c r="K1645" i="94" s="1"/>
  <c r="J1645" i="94"/>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P100" i="97" l="1"/>
  <c r="S1703" i="94" s="1"/>
  <c r="U1703" i="94" s="1"/>
  <c r="U35" i="97"/>
  <c r="Y35" i="97" s="1"/>
  <c r="J36" i="97"/>
  <c r="M1645" i="94" s="1"/>
  <c r="O1703" i="94"/>
  <c r="L36" i="97"/>
  <c r="O1645" i="94" s="1"/>
  <c r="S1702" i="94"/>
  <c r="U1702" i="94" s="1"/>
  <c r="K61" i="78"/>
  <c r="BO62" i="84" s="1"/>
  <c r="C11" i="1"/>
  <c r="F11" i="90" s="1"/>
  <c r="G11" i="90" s="1"/>
  <c r="I3" i="90" s="1"/>
  <c r="J3" i="90" s="1"/>
  <c r="E60" i="78"/>
  <c r="BI61" i="84" s="1"/>
  <c r="E64" i="78"/>
  <c r="BI65" i="84" s="1"/>
  <c r="BU37" i="84"/>
  <c r="S296" i="94"/>
  <c r="U296" i="94" s="1"/>
  <c r="D51" i="78"/>
  <c r="BH51" i="84" s="1"/>
  <c r="BU36" i="84"/>
  <c r="S1743" i="94"/>
  <c r="U1743" i="94" s="1"/>
  <c r="N1644" i="94"/>
  <c r="T35" i="97"/>
  <c r="E1733" i="94"/>
  <c r="S1732" i="94"/>
  <c r="U1732" i="94" s="1"/>
  <c r="S1731" i="94"/>
  <c r="U1731" i="94" s="1"/>
  <c r="W35" i="97"/>
  <c r="E1732" i="94"/>
  <c r="K36" i="97"/>
  <c r="N1645" i="94" s="1"/>
  <c r="N1703" i="94"/>
  <c r="T36" i="97"/>
  <c r="S1759" i="94" s="1"/>
  <c r="U1759" i="94" s="1"/>
  <c r="S1770" i="94"/>
  <c r="U1770" i="94" s="1"/>
  <c r="Y20" i="97"/>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S1785" i="94" l="1"/>
  <c r="U1785" i="94" s="1"/>
  <c r="P36" i="97"/>
  <c r="U36" i="97" s="1"/>
  <c r="Y36" i="97" s="1"/>
  <c r="D55" i="78"/>
  <c r="D56" i="78" s="1"/>
  <c r="X32" i="78" s="1"/>
  <c r="Y32" i="78" s="1"/>
  <c r="Y33" i="78" s="1"/>
  <c r="D6" i="78" s="1"/>
  <c r="BH6" i="84" s="1"/>
  <c r="E65" i="78"/>
  <c r="BI66" i="84" s="1"/>
  <c r="E62" i="78"/>
  <c r="K60" i="78" s="1"/>
  <c r="BO61" i="84" s="1"/>
  <c r="LJ11" i="84"/>
  <c r="F29" i="90"/>
  <c r="LJ29" i="84" s="1"/>
  <c r="C11" i="84"/>
  <c r="S306" i="94"/>
  <c r="U306" i="94" s="1"/>
  <c r="S1758" i="94"/>
  <c r="U1758" i="94" s="1"/>
  <c r="X35" i="97"/>
  <c r="X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F64" i="78" l="1"/>
  <c r="BJ65" i="84" s="1"/>
  <c r="BH55" i="84"/>
  <c r="S310" i="94"/>
  <c r="U310" i="94" s="1"/>
  <c r="BI63" i="84"/>
  <c r="S1786" i="94"/>
  <c r="U1786" i="94" s="1"/>
  <c r="S1645" i="94"/>
  <c r="U1645" i="94" s="1"/>
  <c r="D5" i="78"/>
  <c r="BH5" i="84" s="1"/>
  <c r="B8" i="83"/>
  <c r="X1" i="78"/>
  <c r="C8" i="83"/>
  <c r="D8" i="83" s="1"/>
  <c r="BX73" i="84"/>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I10" i="3" s="1"/>
  <c r="J10" i="3" s="1"/>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A89" i="86" l="1"/>
  <c r="BX88" i="84"/>
  <c r="LZ80" i="84"/>
  <c r="C81" i="16"/>
  <c r="A90" i="86" l="1"/>
  <c r="BX89" i="84"/>
  <c r="LZ81" i="84"/>
  <c r="C82" i="16"/>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A231" i="86"/>
  <c r="BX231" i="84" s="1"/>
  <c r="BX230" i="84"/>
  <c r="I1" i="90" l="1"/>
  <c r="B21" i="83"/>
  <c r="C3" i="90"/>
  <c r="LG3" i="84" s="1"/>
  <c r="LH29" i="84"/>
  <c r="D31" i="90"/>
  <c r="LI11" i="84"/>
  <c r="E29" i="90"/>
  <c r="LI29" i="84" s="1"/>
  <c r="II31" i="84" l="1"/>
  <c r="O31" i="10"/>
  <c r="N34" i="10"/>
  <c r="LH31" i="84"/>
  <c r="D36" i="90"/>
  <c r="LH36" i="84" s="1"/>
  <c r="E31" i="90"/>
  <c r="II34" i="84" l="1"/>
  <c r="N36" i="10"/>
  <c r="IJ31" i="84"/>
  <c r="O34" i="10"/>
  <c r="IJ34" i="84" s="1"/>
  <c r="LI31" i="84"/>
  <c r="E36" i="90"/>
  <c r="LI36" i="84" s="1"/>
  <c r="II36" i="84" l="1"/>
  <c r="N38" i="10"/>
  <c r="I11" i="3" l="1"/>
  <c r="J11" i="3" s="1"/>
  <c r="J21" i="3" s="1"/>
  <c r="II38" i="84"/>
  <c r="C4" i="3" l="1"/>
  <c r="B3" i="3"/>
  <c r="HP3" i="84" s="1"/>
  <c r="C16" i="83"/>
  <c r="B16" i="83"/>
  <c r="D16" i="83" l="1"/>
  <c r="D25" i="83" s="1"/>
  <c r="C25" i="83"/>
  <c r="B25" i="8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 ref="B75" authorId="0" shapeId="0" xr:uid="{00000000-0006-0000-0E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F00-000001000000}">
      <text>
        <r>
          <rPr>
            <b/>
            <sz val="9"/>
            <color indexed="81"/>
            <rFont val="Tahoma"/>
            <family val="2"/>
          </rPr>
          <t xml:space="preserve">Enter the applicable indicator (R or NR) against each line of anticipated income. </t>
        </r>
      </text>
    </comment>
    <comment ref="I4" authorId="0" shapeId="0" xr:uid="{00000000-0006-0000-0F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F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F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F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F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F00-000007000000}">
      <text>
        <r>
          <rPr>
            <b/>
            <sz val="9"/>
            <color indexed="81"/>
            <rFont val="Tahoma"/>
            <family val="2"/>
          </rPr>
          <t>This should reflect the resource allocation received to date,</t>
        </r>
      </text>
    </comment>
    <comment ref="B13" authorId="0" shapeId="0" xr:uid="{00000000-0006-0000-0F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<sst xmlns="http://schemas.openxmlformats.org/spreadsheetml/2006/main" count="3825" uniqueCount="1502">
  <si>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</si>
  <si>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</si>
  <si>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</si>
  <si>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</si>
  <si>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</si>
  <si>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</si>
  <si>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</si>
  <si>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</si>
  <si>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</si>
  <si>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</si>
  <si>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</si>
  <si>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</si>
  <si>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</si>
  <si>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</si>
  <si>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</si>
  <si>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</si>
  <si>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</si>
  <si>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</si>
  <si>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</si>
  <si>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</si>
  <si>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</si>
  <si>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</si>
  <si>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</si>
  <si>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</si>
  <si>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</si>
  <si>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</si>
  <si>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</si>
  <si>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</si>
  <si>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</si>
  <si>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</si>
  <si>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</si>
  <si>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</si>
  <si>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</si>
  <si>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</si>
  <si>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</si>
  <si>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</si>
  <si>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</si>
  <si>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</si>
  <si>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</si>
  <si>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</si>
  <si>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</si>
  <si>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</si>
  <si>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</si>
  <si>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</si>
  <si>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</si>
  <si>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</si>
  <si>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</si>
  <si>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</si>
  <si>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</si>
  <si>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</si>
  <si>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</si>
  <si>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</si>
  <si>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</si>
  <si>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</si>
  <si>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</si>
  <si>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</si>
  <si>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</si>
  <si>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</si>
  <si>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</si>
  <si>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</si>
  <si>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</si>
  <si>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</si>
  <si>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</si>
  <si>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</si>
  <si>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</si>
  <si>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</si>
  <si>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</si>
  <si>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</si>
  <si>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</si>
  <si>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</si>
  <si>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</si>
  <si>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</si>
  <si>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</si>
  <si>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</si>
  <si>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</si>
  <si>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</si>
  <si>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</si>
  <si>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</si>
  <si>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</si>
  <si>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</si>
  <si>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</si>
  <si>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</si>
  <si>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</si>
  <si>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</si>
  <si>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</si>
  <si>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</si>
  <si>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</si>
  <si>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</si>
  <si>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</si>
  <si>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</si>
  <si>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</si>
  <si>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</si>
  <si>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</si>
  <si>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</si>
  <si>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</si>
  <si>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</si>
  <si>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</si>
  <si>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</si>
  <si>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</si>
  <si>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</si>
  <si>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</si>
  <si>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</si>
  <si>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</si>
  <si>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</si>
  <si>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</si>
  <si>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</si>
  <si>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</si>
  <si>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</si>
  <si>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</si>
  <si>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</si>
  <si>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</si>
  <si>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</si>
  <si>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</si>
  <si>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</si>
  <si>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</si>
  <si>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</si>
  <si>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</si>
  <si>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</si>
  <si>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</si>
  <si>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</si>
  <si>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</si>
  <si>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</si>
  <si>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</si>
  <si>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</si>
  <si>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</si>
  <si>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</si>
  <si>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</si>
  <si>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</si>
  <si>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</si>
  <si>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</si>
  <si>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</si>
  <si>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</si>
  <si>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</si>
  <si>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</si>
  <si>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</si>
  <si>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</si>
  <si>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</si>
  <si>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</si>
  <si>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</si>
  <si>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</si>
  <si>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</si>
  <si>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</si>
  <si>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</si>
  <si>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</si>
  <si>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</si>
  <si>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</si>
  <si>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</si>
  <si>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</si>
  <si>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</si>
  <si>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</si>
  <si>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</si>
  <si>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</si>
  <si>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</si>
  <si>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</si>
  <si>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</si>
  <si>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</si>
  <si>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</si>
  <si>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</si>
  <si>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</si>
  <si>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</si>
  <si>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</si>
  <si>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</si>
  <si>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</si>
  <si>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</si>
  <si>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</si>
  <si>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</si>
  <si>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</si>
  <si>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</si>
  <si>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</si>
  <si>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</si>
  <si>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</si>
  <si>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</si>
  <si>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</si>
  <si>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</si>
  <si>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</si>
  <si>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</si>
  <si>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</si>
  <si>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</si>
  <si>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</si>
  <si>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</si>
  <si>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</si>
  <si>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</si>
  <si>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</si>
  <si>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</si>
  <si>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</si>
  <si>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</si>
  <si>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</si>
  <si>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</si>
  <si>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</si>
  <si>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</si>
  <si>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</si>
  <si>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</si>
  <si>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</si>
  <si>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</si>
  <si>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</si>
  <si>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</si>
  <si>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</si>
  <si>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</si>
  <si>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</si>
  <si>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</si>
  <si>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</si>
  <si>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</si>
  <si>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</si>
  <si>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</si>
  <si>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</si>
  <si>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</si>
  <si>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</si>
  <si>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</si>
  <si>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</si>
  <si>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</si>
  <si>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</si>
  <si>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</si>
  <si>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</si>
  <si>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</si>
  <si>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</si>
  <si>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</si>
  <si>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</si>
  <si>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</si>
  <si>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</si>
  <si>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</si>
  <si>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</si>
  <si>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</si>
  <si>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</si>
  <si>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</si>
  <si>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</si>
  <si>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</si>
  <si>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</si>
  <si>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</si>
  <si>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</si>
  <si>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</si>
  <si>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</si>
  <si>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</si>
  <si>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</si>
  <si>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</si>
  <si>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</si>
  <si>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</si>
  <si>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</si>
  <si>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</si>
  <si>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</si>
  <si>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</si>
  <si>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</si>
  <si>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</si>
  <si>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</si>
  <si>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</si>
  <si>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</si>
  <si>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</si>
  <si>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</si>
  <si>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</si>
  <si>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</si>
  <si>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</si>
  <si>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</si>
  <si>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</si>
  <si>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</si>
  <si>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</si>
  <si>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</si>
  <si>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</si>
  <si>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</si>
  <si>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</si>
  <si>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</si>
  <si>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</si>
  <si>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</si>
  <si>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</si>
  <si>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</si>
  <si>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</si>
  <si>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</si>
  <si>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</si>
  <si>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</si>
  <si>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</si>
  <si>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</si>
  <si>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</si>
  <si>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</si>
  <si>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</si>
  <si>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</si>
  <si>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</si>
  <si>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</si>
  <si>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</si>
  <si>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</si>
  <si>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</si>
  <si>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</si>
  <si>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</si>
  <si>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</si>
  <si>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</si>
  <si>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</si>
  <si>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</si>
  <si>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</si>
  <si>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</si>
  <si>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</si>
  <si>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</si>
  <si>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</si>
  <si>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</si>
  <si>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</si>
  <si>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</si>
  <si>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</si>
  <si>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</si>
  <si>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</si>
  <si>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</si>
  <si>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</si>
  <si>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</si>
  <si>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</si>
  <si>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</si>
  <si>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</si>
  <si>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</si>
  <si>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</si>
  <si>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</si>
  <si>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</si>
  <si>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</si>
  <si>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</si>
  <si>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</si>
  <si>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</si>
  <si>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</si>
  <si>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</si>
  <si>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</si>
  <si>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</si>
  <si>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</si>
  <si>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</si>
  <si>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</si>
  <si>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</si>
  <si>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</si>
  <si>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</si>
  <si>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</si>
  <si>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</si>
  <si>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</si>
  <si>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</si>
  <si>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</si>
  <si>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</si>
  <si>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</si>
  <si>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</si>
  <si>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</si>
  <si>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</si>
  <si>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</si>
  <si>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</si>
  <si>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</si>
  <si>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</si>
  <si>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</si>
  <si>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</si>
  <si>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</si>
  <si>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</si>
  <si>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</si>
  <si>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</si>
  <si>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</si>
  <si>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</si>
  <si>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</si>
  <si>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</si>
  <si>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</si>
  <si>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</si>
  <si>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</si>
  <si>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</si>
  <si>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</si>
  <si>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</si>
  <si>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</si>
  <si>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</si>
  <si>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</si>
  <si>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</si>
  <si>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</si>
  <si>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</si>
  <si>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</si>
  <si>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</si>
  <si>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</si>
  <si>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</si>
  <si>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</si>
  <si>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</si>
  <si>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</si>
  <si>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</si>
  <si>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</si>
  <si>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</si>
  <si>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</si>
  <si>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</si>
  <si>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</si>
  <si>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</si>
  <si>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</si>
  <si>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</si>
  <si>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</si>
  <si>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</si>
  <si>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</si>
  <si>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</si>
  <si>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</si>
  <si>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</si>
  <si>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</si>
  <si>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</si>
  <si>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</si>
  <si>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</si>
  <si>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</si>
  <si>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</si>
  <si>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</si>
  <si>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</si>
  <si>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</si>
  <si>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</si>
  <si>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</si>
  <si>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</si>
  <si>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</si>
  <si>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</si>
  <si>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</si>
  <si>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</si>
  <si>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</si>
  <si>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</si>
  <si>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</si>
  <si>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</si>
  <si>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</si>
  <si>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</si>
  <si>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</si>
  <si>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</si>
  <si>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</si>
  <si>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</si>
  <si>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</si>
  <si>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</si>
  <si>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</si>
  <si>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</si>
  <si>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</si>
  <si>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</si>
  <si>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</si>
  <si>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</si>
  <si>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</si>
  <si>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</si>
  <si>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</si>
  <si>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</si>
  <si>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</si>
  <si>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</si>
  <si>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</si>
  <si>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</si>
  <si>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</si>
  <si>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</si>
  <si>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</si>
  <si>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</si>
  <si>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</si>
  <si>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</si>
  <si>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</si>
  <si>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</si>
  <si>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</si>
  <si>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</si>
  <si>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</si>
  <si>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</si>
  <si>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</si>
  <si>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</si>
  <si>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</si>
  <si>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</si>
  <si>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</si>
  <si>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</si>
  <si>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</si>
  <si>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</si>
  <si>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</si>
  <si>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</si>
  <si>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</si>
  <si>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</si>
  <si>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</si>
  <si>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</si>
  <si>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</si>
  <si>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</si>
  <si>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</si>
  <si>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</si>
  <si>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</si>
  <si>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</si>
  <si>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</si>
  <si>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</si>
  <si>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</si>
  <si>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</si>
  <si>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</si>
  <si>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</si>
  <si>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</si>
  <si>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</si>
  <si>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</si>
  <si>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</si>
  <si>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</si>
  <si>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</si>
  <si>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</si>
  <si>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</si>
  <si>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</si>
  <si>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</si>
  <si>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</si>
  <si>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</si>
  <si>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</si>
  <si>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</si>
  <si>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</si>
  <si>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</si>
  <si>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</si>
  <si>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</si>
  <si>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</si>
  <si>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</si>
  <si>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</si>
  <si>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</si>
  <si>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</si>
  <si>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</si>
  <si>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</si>
  <si>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</si>
  <si>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</si>
  <si>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</si>
  <si>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</si>
  <si>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</si>
  <si>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</si>
  <si>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</si>
  <si>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</si>
  <si>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</si>
  <si>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</si>
  <si>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</si>
  <si>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</si>
  <si>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</si>
  <si>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</si>
  <si>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</si>
  <si>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</si>
  <si>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</si>
  <si>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</si>
  <si>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</si>
  <si>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</si>
  <si>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</si>
  <si>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</si>
  <si>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</si>
  <si>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</si>
  <si>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</si>
  <si>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</si>
  <si>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</si>
  <si>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</si>
  <si>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</si>
  <si>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</si>
  <si>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</si>
  <si>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</si>
  <si>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</si>
  <si>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</si>
  <si>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</si>
  <si>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</si>
  <si>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</si>
  <si>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</si>
  <si>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</si>
  <si>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</si>
  <si>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</si>
  <si>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</si>
  <si>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</si>
  <si>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</si>
  <si>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</si>
  <si>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</si>
  <si>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</si>
  <si>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</si>
  <si>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</si>
  <si>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</si>
  <si>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</si>
  <si>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</si>
  <si>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</si>
  <si>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</si>
  <si>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</si>
  <si>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</si>
  <si>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</si>
  <si>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</si>
  <si>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</si>
  <si>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</si>
  <si>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</si>
  <si>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</si>
  <si>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</si>
  <si>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</si>
  <si>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</si>
  <si>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</si>
  <si>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</si>
  <si>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</si>
  <si>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</si>
  <si>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</si>
  <si>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</si>
  <si>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</si>
  <si>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</si>
  <si>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</si>
  <si>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</si>
  <si>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</si>
  <si>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</si>
  <si>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</si>
  <si>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</si>
  <si>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</si>
  <si>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</si>
  <si>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</si>
  <si>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</si>
  <si>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</si>
  <si>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</si>
  <si>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</si>
  <si>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</si>
  <si>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</si>
  <si>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</si>
  <si>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</si>
  <si>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</si>
  <si>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</si>
  <si>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</si>
  <si>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</si>
  <si>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</si>
  <si>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</si>
  <si>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</si>
  <si>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</si>
  <si>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</si>
  <si>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</si>
  <si>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</si>
  <si>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</si>
  <si>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</si>
  <si>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</si>
  <si>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</si>
  <si>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</si>
  <si>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</si>
  <si>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</si>
  <si>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</si>
  <si>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</si>
  <si>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</si>
  <si>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</si>
  <si>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</si>
  <si>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</si>
  <si>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</si>
  <si>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</si>
  <si>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</si>
  <si>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</si>
  <si>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</si>
  <si>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</si>
  <si>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</si>
  <si>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</si>
  <si>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</si>
  <si>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</si>
  <si>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</si>
  <si>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</si>
  <si>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</si>
  <si>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</si>
  <si>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</si>
  <si>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</si>
  <si>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</si>
  <si>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</si>
  <si>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</si>
  <si>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</si>
  <si>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</si>
  <si>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</si>
  <si>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</si>
  <si>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</si>
  <si>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</si>
  <si>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</si>
  <si>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</si>
  <si>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</si>
  <si>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</si>
  <si>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</si>
  <si>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</si>
  <si>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</si>
  <si>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</si>
  <si>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</si>
  <si>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</si>
  <si>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</si>
  <si>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</si>
  <si>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</si>
  <si>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</si>
  <si>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</si>
  <si>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</si>
  <si>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</si>
  <si>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</si>
  <si>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</si>
  <si>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</si>
  <si>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</si>
  <si>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</si>
  <si>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</si>
  <si>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</si>
  <si>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</si>
  <si>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</si>
  <si>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</si>
  <si>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</si>
  <si>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</si>
  <si>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</si>
  <si>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</si>
  <si>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</si>
  <si>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</si>
  <si>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</si>
  <si>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</si>
  <si>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</si>
  <si>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</si>
  <si>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</si>
  <si>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</si>
  <si>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</si>
  <si>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</si>
  <si>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</si>
  <si>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</si>
  <si>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</si>
  <si>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</si>
  <si>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</si>
  <si>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</si>
  <si>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</si>
  <si>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</si>
  <si>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</si>
  <si>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</si>
  <si>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</si>
  <si>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</si>
  <si>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</si>
  <si>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</si>
  <si>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</si>
  <si>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</si>
  <si>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</si>
  <si>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</si>
  <si>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</si>
  <si>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</si>
  <si>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</si>
  <si>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</si>
  <si>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</si>
  <si>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</si>
  <si>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</si>
  <si>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</si>
  <si>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</si>
  <si>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</si>
  <si>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</si>
  <si>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</si>
  <si>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</si>
  <si>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</si>
  <si>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</si>
  <si>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</si>
  <si>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</si>
  <si>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</si>
  <si>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</si>
  <si>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</si>
  <si>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</si>
  <si>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</si>
  <si>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</si>
  <si>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</si>
  <si>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</si>
  <si>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</si>
  <si>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</si>
  <si>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</si>
  <si>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</si>
  <si>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</si>
  <si>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</si>
  <si>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</si>
  <si>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</si>
  <si>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</si>
  <si>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</si>
  <si>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</si>
  <si>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</si>
  <si>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</si>
  <si>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</si>
  <si>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</si>
  <si>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</si>
  <si>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</si>
  <si>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</si>
  <si>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</si>
  <si>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</si>
  <si>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</si>
  <si>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</si>
  <si>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</si>
  <si>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</si>
  <si>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</si>
  <si>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</si>
  <si>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</si>
  <si>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</si>
  <si>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</si>
  <si>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</si>
  <si>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</si>
  <si>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</si>
  <si>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</si>
  <si>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</si>
  <si>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</si>
  <si>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</si>
  <si>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</si>
  <si>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</si>
  <si>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</si>
  <si>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</si>
  <si>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</si>
  <si>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</si>
  <si>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</si>
  <si>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</si>
  <si>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</si>
  <si>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</si>
  <si>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</si>
  <si>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</si>
  <si>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</si>
  <si>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</si>
  <si>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</si>
  <si>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</si>
  <si>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</si>
  <si>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</si>
  <si>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</si>
  <si>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</si>
  <si>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</si>
  <si>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</si>
  <si>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</si>
  <si>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</si>
  <si>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</si>
  <si>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</si>
  <si>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</si>
  <si>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</si>
  <si>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</si>
  <si>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</si>
  <si>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</si>
  <si>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</si>
  <si>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</si>
  <si>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</si>
  <si>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</si>
  <si>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</si>
  <si>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</si>
  <si>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</si>
  <si>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</si>
  <si>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</si>
  <si>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</si>
  <si>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</si>
  <si>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</si>
  <si>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</si>
  <si>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</si>
  <si>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</si>
  <si>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</si>
  <si>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</si>
  <si>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</si>
  <si>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</si>
  <si>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</si>
  <si>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</si>
  <si>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</si>
  <si>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</si>
  <si>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</si>
  <si>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</si>
  <si>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</si>
  <si>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</si>
  <si>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</si>
  <si>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</si>
  <si>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</si>
  <si>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</si>
  <si>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</si>
  <si>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</si>
  <si>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</si>
  <si>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</si>
  <si>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</si>
  <si>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</si>
  <si>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</si>
  <si>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</si>
  <si>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</si>
  <si>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</si>
  <si>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</si>
  <si>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</si>
  <si>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</si>
  <si>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</si>
  <si>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</si>
  <si>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</si>
  <si>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</si>
  <si>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</si>
  <si>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</si>
  <si>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</si>
  <si>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</si>
  <si>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</si>
  <si>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</si>
  <si>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</si>
  <si>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</si>
  <si>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</si>
  <si>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</si>
  <si>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</si>
  <si>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</si>
  <si>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</si>
  <si>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</si>
  <si>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</si>
  <si>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</si>
  <si>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</si>
  <si>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</si>
  <si>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</si>
  <si>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</si>
  <si>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</si>
  <si>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</si>
  <si>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</si>
  <si>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</si>
  <si>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</si>
  <si>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</si>
  <si>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</si>
  <si>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</si>
  <si>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</si>
  <si>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</si>
  <si>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</si>
  <si>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</si>
  <si>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</si>
  <si>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</si>
  <si>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</si>
  <si>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</si>
  <si>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</si>
  <si>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</si>
  <si>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</si>
  <si>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</si>
  <si>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</si>
  <si>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</si>
  <si>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</si>
  <si>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</si>
  <si>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</si>
  <si>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</si>
  <si>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</si>
  <si>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</si>
  <si>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</si>
  <si>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</si>
  <si>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</si>
  <si>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</si>
  <si>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</si>
  <si>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</si>
  <si>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</si>
  <si>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</si>
  <si>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</si>
  <si>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</si>
  <si>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</si>
  <si>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</si>
  <si>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</si>
  <si>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</si>
  <si>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</si>
  <si>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</si>
  <si>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</si>
  <si>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</si>
  <si>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</si>
  <si>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</si>
  <si>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</si>
  <si>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</si>
  <si>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</si>
  <si>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</si>
  <si>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</si>
  <si>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</si>
  <si>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</si>
  <si>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</si>
  <si>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</si>
  <si>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</si>
  <si>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</si>
  <si>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</si>
  <si>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</si>
  <si>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</si>
  <si>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</si>
  <si>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</si>
  <si>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</si>
  <si>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</si>
  <si>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</si>
  <si>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</si>
  <si>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</si>
  <si>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</si>
  <si>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</si>
  <si>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</si>
  <si>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</si>
  <si>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</si>
  <si>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</si>
  <si>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</si>
  <si>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</si>
  <si>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</si>
  <si>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</si>
  <si>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</si>
  <si>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</si>
  <si>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</si>
  <si>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</si>
  <si>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</si>
  <si>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</si>
  <si>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</si>
  <si>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</si>
  <si>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</si>
  <si>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</si>
  <si>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</si>
  <si>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</si>
  <si>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</si>
  <si>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</si>
  <si>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</si>
  <si>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</si>
  <si>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</si>
  <si>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</si>
  <si>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</si>
  <si>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</si>
  <si>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</si>
  <si>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</si>
  <si>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</si>
  <si>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</si>
  <si>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</si>
  <si>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</si>
  <si>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</si>
  <si>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</si>
  <si>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</si>
  <si>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</si>
  <si>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</si>
  <si>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</si>
  <si>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</si>
  <si>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</si>
  <si>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</si>
  <si>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</si>
  <si>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</si>
  <si>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</si>
  <si>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</si>
  <si>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</si>
  <si>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</si>
  <si>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</si>
  <si>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</si>
  <si>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</si>
  <si>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</si>
  <si>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</si>
  <si>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</si>
  <si>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</si>
  <si>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</si>
  <si>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</si>
  <si>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</si>
  <si>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</si>
  <si>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</si>
  <si>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</si>
  <si>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</si>
  <si>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</si>
  <si>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</si>
  <si>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</si>
  <si>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</si>
  <si>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</si>
  <si>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</si>
  <si>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</si>
  <si>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</si>
  <si>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</si>
  <si>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</si>
  <si>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</si>
  <si>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</si>
  <si>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</si>
  <si>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</si>
  <si>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</si>
  <si>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</si>
  <si>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</si>
  <si>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</si>
  <si>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</si>
  <si>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</si>
  <si>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</si>
  <si>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</si>
  <si>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</si>
  <si>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</si>
  <si>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</si>
  <si>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</si>
  <si>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</si>
  <si>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</si>
  <si>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</si>
  <si>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</si>
  <si>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</si>
  <si>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</si>
  <si>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</si>
  <si>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</si>
  <si>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</si>
  <si>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</si>
  <si>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</si>
  <si>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</si>
  <si>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</si>
  <si>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</si>
  <si>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</si>
  <si>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</si>
  <si>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</si>
  <si>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</si>
  <si>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</si>
  <si>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</si>
  <si>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</si>
  <si>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</si>
  <si>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</si>
  <si>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</si>
  <si>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</si>
  <si>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</si>
  <si>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</si>
  <si>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</si>
  <si>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</si>
  <si>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</si>
  <si>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</si>
  <si>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</si>
  <si>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</si>
  <si>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</si>
  <si>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</si>
  <si>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</si>
  <si>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</si>
  <si>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</si>
  <si>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</si>
  <si>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</si>
  <si>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</si>
  <si>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</si>
  <si>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</si>
  <si>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</si>
  <si>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</si>
  <si>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</si>
  <si>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</si>
  <si>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</si>
  <si>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</si>
  <si>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</si>
  <si>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</si>
  <si>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</si>
  <si>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</si>
  <si>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</si>
  <si>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</si>
  <si>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</si>
  <si>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</si>
  <si>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</si>
  <si>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</si>
  <si>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</si>
  <si>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</si>
  <si>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</si>
  <si>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</si>
  <si>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</si>
  <si>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</si>
  <si>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</si>
  <si>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</si>
  <si>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</si>
  <si>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</si>
  <si>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</si>
  <si>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</si>
  <si>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</si>
  <si>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</si>
  <si>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</si>
  <si>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</si>
  <si>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</si>
  <si>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</si>
  <si>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</si>
  <si>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</si>
  <si>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</si>
  <si>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</si>
  <si>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</si>
  <si>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</si>
  <si>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</si>
  <si>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</si>
  <si>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</si>
  <si>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</si>
  <si>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</si>
  <si>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</si>
  <si>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</si>
  <si>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</si>
  <si>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</si>
  <si>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</si>
  <si>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</si>
  <si>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</si>
  <si>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</si>
  <si>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</si>
  <si>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</si>
  <si>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</si>
  <si>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</si>
  <si>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</si>
  <si>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</si>
  <si>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</si>
  <si>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</si>
  <si>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</si>
  <si>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</si>
  <si>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</si>
  <si>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</si>
  <si>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</si>
  <si>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</si>
  <si>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</si>
  <si>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</si>
  <si>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</si>
  <si>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</si>
  <si>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</si>
  <si>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</si>
  <si>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</si>
  <si>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</si>
  <si>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</si>
  <si>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</si>
  <si>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</si>
  <si>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</si>
  <si>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</si>
  <si>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</si>
  <si>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</si>
  <si>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</si>
  <si>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</si>
  <si>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</si>
  <si>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</si>
  <si>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</si>
  <si>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</si>
  <si>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</si>
  <si>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</si>
  <si>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</si>
  <si>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</si>
  <si>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</si>
  <si>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</si>
  <si>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</si>
  <si>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</si>
  <si>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</si>
  <si>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</si>
  <si>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</si>
  <si>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</si>
  <si>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</si>
  <si>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</si>
  <si>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</si>
  <si>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</si>
  <si>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</si>
  <si>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</si>
  <si>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</si>
  <si>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</si>
  <si>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</si>
  <si>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</si>
  <si>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</si>
  <si>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</si>
  <si>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</si>
  <si>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</si>
  <si>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</si>
  <si>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</si>
  <si>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</si>
  <si>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</si>
  <si>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</si>
  <si>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</si>
  <si>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</si>
  <si>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</si>
  <si>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</si>
  <si>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</si>
  <si>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</si>
  <si>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</si>
  <si>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</si>
  <si>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</si>
  <si>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</si>
  <si>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</si>
  <si>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</si>
  <si>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</si>
  <si>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</si>
  <si>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</si>
  <si>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</si>
  <si>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</si>
  <si>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</si>
  <si>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</si>
  <si>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</si>
  <si>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</si>
  <si>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</si>
  <si>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</si>
  <si>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</si>
  <si>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</si>
  <si>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</si>
  <si>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</si>
  <si>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</si>
  <si>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</si>
  <si>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</si>
  <si>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</si>
  <si>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</si>
  <si>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</si>
  <si>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</si>
  <si>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</si>
  <si>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</si>
  <si>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</si>
  <si>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</si>
  <si>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</si>
  <si>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</si>
  <si>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</si>
  <si>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</si>
  <si>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</si>
  <si>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</si>
  <si>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</si>
  <si>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</si>
  <si>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</si>
  <si>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</si>
  <si>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</si>
  <si>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</si>
  <si>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</si>
  <si>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</si>
  <si>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</si>
  <si>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</si>
  <si>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</si>
  <si>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</si>
  <si>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</si>
  <si>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</si>
  <si>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</si>
  <si>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</si>
  <si>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</si>
  <si>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</si>
  <si>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</si>
  <si>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</si>
  <si>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</si>
  <si>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</si>
  <si>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</si>
  <si>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</si>
  <si>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</si>
  <si>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</si>
  <si>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</si>
  <si>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</si>
  <si>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</si>
  <si>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</si>
  <si>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</si>
  <si>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</si>
  <si>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</si>
  <si>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</si>
  <si>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</si>
  <si>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</si>
  <si>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</si>
  <si>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</si>
  <si>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</si>
  <si>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</si>
  <si>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</si>
  <si>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</si>
  <si>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</si>
  <si>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</si>
  <si>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</si>
  <si>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</si>
  <si>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</si>
  <si>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</si>
  <si>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</si>
  <si>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</si>
  <si>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</si>
  <si>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</si>
  <si>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</si>
  <si>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</si>
  <si>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</si>
  <si>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</si>
  <si>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</si>
  <si>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</si>
  <si>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</si>
  <si>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</si>
  <si>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</si>
  <si>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</si>
  <si>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</si>
  <si>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</si>
  <si>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</si>
  <si>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</si>
  <si>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</si>
  <si>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</si>
  <si>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</si>
  <si>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</si>
  <si>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</si>
  <si>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</si>
  <si>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</si>
  <si>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</si>
  <si>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</si>
  <si>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</si>
  <si>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</si>
  <si>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</si>
  <si>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</si>
  <si>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</si>
  <si>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</si>
  <si>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</si>
  <si>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</si>
  <si>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</si>
  <si>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</si>
  <si>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</si>
  <si>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</si>
  <si>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</si>
  <si>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</si>
  <si>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</si>
  <si>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</si>
  <si>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</si>
  <si>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</si>
  <si>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</si>
  <si>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</si>
  <si>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</si>
  <si>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</si>
  <si>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</si>
  <si>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</si>
  <si>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</si>
  <si>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</si>
  <si>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</si>
  <si>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</si>
  <si>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</si>
  <si>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</si>
  <si>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</si>
  <si>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</si>
  <si>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</si>
  <si>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</si>
  <si>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</si>
  <si>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</si>
  <si>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</si>
  <si>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</si>
  <si>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</si>
  <si>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</si>
  <si>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</si>
  <si>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</si>
  <si>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</si>
  <si>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</si>
  <si>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</si>
  <si>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</si>
  <si>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</si>
  <si>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</si>
  <si>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</si>
  <si>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</si>
  <si>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</si>
  <si>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</si>
  <si>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</si>
  <si>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</si>
  <si>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</si>
  <si>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</si>
  <si>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</si>
  <si>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</si>
  <si>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</si>
  <si>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</si>
  <si>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</si>
  <si>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</si>
  <si>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</si>
  <si>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</si>
  <si>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</si>
  <si>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</si>
  <si>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</si>
  <si>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</si>
  <si>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</si>
  <si>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</si>
  <si>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</si>
  <si>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</si>
  <si>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</si>
  <si>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</si>
  <si>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</si>
  <si>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</si>
  <si>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</si>
  <si>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</si>
  <si>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</si>
  <si>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</si>
  <si>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</si>
  <si>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</si>
  <si>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</si>
  <si>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</si>
  <si>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</si>
  <si>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</si>
  <si>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</si>
  <si>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</si>
  <si>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</si>
  <si>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</si>
  <si>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</si>
  <si>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</si>
  <si>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</si>
  <si>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</si>
  <si>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</si>
  <si>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</si>
  <si>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</si>
  <si>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</si>
  <si>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</si>
  <si>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</si>
  <si>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</si>
  <si>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</si>
  <si>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</si>
  <si>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</si>
  <si>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</si>
  <si>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</si>
  <si>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</si>
  <si>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</si>
  <si>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</si>
  <si>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</si>
  <si>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</si>
  <si>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</si>
  <si>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</si>
  <si>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</si>
  <si>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</si>
  <si>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</si>
  <si>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</si>
  <si>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</si>
  <si>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</si>
  <si>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</si>
  <si>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</si>
  <si>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</si>
  <si>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</si>
  <si>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</si>
  <si>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</si>
  <si>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</si>
  <si>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</si>
  <si>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</si>
  <si>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</si>
  <si>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</si>
  <si>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</si>
  <si>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</si>
  <si>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</si>
  <si>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</si>
  <si>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</si>
  <si>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</si>
  <si>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</si>
  <si>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</si>
  <si>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</si>
  <si>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</si>
  <si>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</si>
  <si>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</si>
  <si>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</si>
  <si>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</si>
  <si>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</si>
  <si>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</si>
  <si>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</si>
  <si>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</si>
  <si>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</si>
  <si>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</si>
  <si>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</si>
  <si>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</si>
  <si>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</si>
  <si>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</si>
  <si>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</si>
  <si>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</si>
  <si>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</si>
  <si>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</si>
  <si>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</si>
  <si>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</si>
  <si>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</si>
  <si>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</si>
  <si>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</si>
  <si>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</si>
  <si>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</si>
  <si>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PHW Capital Schemes:</t>
  </si>
  <si>
    <t xml:space="preserve">Screening Equipment Replacement (BTW Imaging Equip) </t>
  </si>
  <si>
    <t>Hosted Capital Schemes:</t>
  </si>
  <si>
    <t>(EFAB) - Fire Compliance Works</t>
  </si>
  <si>
    <t>(EFAB) - Decarbonisation Scheme</t>
  </si>
  <si>
    <t>Dean Phillips</t>
  </si>
  <si>
    <t>Chris Orr</t>
  </si>
  <si>
    <t xml:space="preserve">(EFAB) - Decarbonisation Scheme </t>
  </si>
  <si>
    <t>Ruth Maddern</t>
  </si>
  <si>
    <t>PHW</t>
  </si>
  <si>
    <t>HOSTED</t>
  </si>
  <si>
    <t xml:space="preserve">Per WG Pay Circular confirmed in 2022-23 </t>
  </si>
  <si>
    <t>Directorate Savings Schemes - Various Pay Schemes</t>
  </si>
  <si>
    <t>Directorate Savings Schemes - Various  Non Pay Schemes</t>
  </si>
  <si>
    <t>Corporate Savings Schemes - Efficiency Scheme</t>
  </si>
  <si>
    <t>WG Pay Circular: Pay Letter AfC(W) 04/2023</t>
  </si>
  <si>
    <t>Clinical negligence</t>
  </si>
  <si>
    <t xml:space="preserve">Permanent injury </t>
  </si>
  <si>
    <t>Other losses and special payments</t>
  </si>
  <si>
    <t>Defence legal fees and other administration</t>
  </si>
  <si>
    <t>Other provisions</t>
  </si>
  <si>
    <t>Scheme Pays 2019-20 - Reimbursement</t>
  </si>
  <si>
    <t>RoU Asset Dilapidations CAME</t>
  </si>
  <si>
    <t>HP Team Covid-19</t>
  </si>
  <si>
    <t>2023-24 5% pay award (actuals to date plus forecast for remainder of year)</t>
  </si>
  <si>
    <t>2022-23 1.5% Consolidated pay award (actuals to date plus forecast for remainder of year)</t>
  </si>
  <si>
    <t>NHS Executive - ICT Equipment</t>
  </si>
  <si>
    <t>Karen Evans</t>
  </si>
  <si>
    <t>Tarian Development</t>
  </si>
  <si>
    <t>Winter Communications Campaign</t>
  </si>
  <si>
    <t>M&amp;D(W) 06/2023 Pay Circular</t>
  </si>
  <si>
    <t>Microsoft VAT recovery currently being pursued by DHCW</t>
  </si>
  <si>
    <t>DPIF - RISP Infrastructure</t>
  </si>
  <si>
    <t>DPIF - PHW - Cyber (Firewall Replacement)</t>
  </si>
  <si>
    <t>P000614 - Qiagen QIAExel Capiliary electrophoresis</t>
  </si>
  <si>
    <t>P000943 - GE Ultrasound machine (repl) BTW Swansea</t>
  </si>
  <si>
    <t>P001252 - Video Conference Equipment</t>
  </si>
  <si>
    <t>P001031 - 4ft Biology Safety Cabinet</t>
  </si>
  <si>
    <t>Simon Thomas</t>
  </si>
  <si>
    <t>P000645 - EpiCentre Interface</t>
  </si>
  <si>
    <t>2023-24 M&amp;D 5% pay award (actuals to date plus forecast for remainder of year)</t>
  </si>
  <si>
    <t>Arbitration Letter sent to Mark Thomas (CTM) 07.03.24</t>
  </si>
  <si>
    <t>Arbitration Letter sent to Andrea Hughes (BCU HB) 07.03.24</t>
  </si>
  <si>
    <t>Entered in P01 - Invoices raised for P01 - P10</t>
  </si>
  <si>
    <t>IFRS 16 Leases 2023-24 – Tranche 2</t>
  </si>
  <si>
    <t>IFRS 16 Dilapidations for new and renewal leases</t>
  </si>
  <si>
    <t>Neil Desmond</t>
  </si>
  <si>
    <t>Unit 1 Fairway Court</t>
  </si>
  <si>
    <t>Unit 22A and B Taff Business Centre</t>
  </si>
  <si>
    <t>Part 2nd Floor, Building 1, Bocum Park</t>
  </si>
  <si>
    <t>IFRS 16 Leases 2023-24 – Tranche 2:</t>
  </si>
  <si>
    <t>Hosted IFRS 16 Leases:</t>
  </si>
  <si>
    <t>PHW IFRS 16 Leases:</t>
  </si>
  <si>
    <t>As confirmed on IFRS 16 return (submitted 11/03/2024). Billed £1.490m to date</t>
  </si>
  <si>
    <t>Remaining value to be billed for owned assets (£3.550m billed to date).</t>
  </si>
  <si>
    <t>Forecast return of revenue for IFRS 16 adjustment (per IFRS 16 submission 11/03/2024)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</si>
</sst>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69140625" defaultRowHeight="20.149999999999999" customHeight="1"/>
  <cols>
    <col min="1" max="1" width="8.69140625" style="1924"/>
    <col min="2" max="2" width="37.07421875" style="1924" bestFit="1" customWidth="1"/>
    <col min="3" max="4" width="9.69140625" style="1924" customWidth="1"/>
    <col min="5" max="6" width="8.69140625" style="1924"/>
    <col min="7" max="7" width="11.4609375" style="1924" customWidth="1"/>
    <col min="8" max="8" width="12.07421875" style="1924" customWidth="1"/>
    <col min="9" max="12" width="8.69140625" style="1924"/>
    <col min="13" max="13" width="6.07421875" style="1924" customWidth="1"/>
    <col min="14" max="14" width="94.53515625" style="1924" customWidth="1"/>
    <col min="15" max="18" width="8.53515625" style="1924" customWidth="1"/>
    <col min="19" max="20" width="8.69140625" style="1924"/>
    <col min="21" max="21" width="6.07421875" style="1924" customWidth="1"/>
    <col min="22" max="22" width="92.69140625" style="1924" customWidth="1"/>
    <col min="23" max="34" width="9.69140625" style="1924" customWidth="1"/>
    <col min="35" max="39" width="8.53515625" style="1924" customWidth="1"/>
    <col min="40" max="42" width="8.69140625" style="1924"/>
    <col min="43" max="43" width="52.23046875" style="1924" bestFit="1" customWidth="1"/>
    <col min="44" max="52" width="8.69140625" style="1924"/>
    <col min="53" max="53" width="56.07421875" style="1924" customWidth="1"/>
    <col min="54" max="55" width="12.07421875" style="1924" customWidth="1"/>
    <col min="56" max="57" width="6.07421875" style="1924" customWidth="1"/>
    <col min="58" max="58" width="60.53515625" style="1924" bestFit="1" customWidth="1"/>
    <col min="59" max="59" width="30.23046875" style="1924" bestFit="1" customWidth="1"/>
    <col min="60" max="60" width="11.07421875" style="1924" customWidth="1"/>
    <col min="61" max="61" width="8.23046875" style="1924" customWidth="1"/>
    <col min="62" max="72" width="8.69140625" style="1924"/>
    <col min="73" max="73" width="10.69140625" style="1924" customWidth="1"/>
    <col min="74" max="76" width="8.69140625" style="1924" customWidth="1"/>
    <col min="77" max="77" width="98.23046875" style="1924" bestFit="1" customWidth="1"/>
    <col min="78" max="91" width="8.69140625" style="1924" customWidth="1"/>
    <col min="92" max="93" width="8.69140625" style="1924"/>
    <col min="94" max="94" width="45.53515625" style="1924" bestFit="1" customWidth="1"/>
    <col min="95" max="110" width="8.69140625" style="1924"/>
    <col min="111" max="111" width="80.69140625" style="2826" bestFit="1" customWidth="1"/>
    <col min="112" max="128" width="8.69140625" style="1924"/>
    <col min="129" max="129" width="9.23046875" style="1924" customWidth="1"/>
    <col min="130" max="130" width="14.69140625" style="1924" customWidth="1"/>
    <col min="131" max="131" width="16" style="1924" customWidth="1"/>
    <col min="132" max="149" width="8.69140625" style="1924"/>
    <col min="150" max="152" width="9.4609375" style="1924" customWidth="1"/>
    <col min="153" max="177" width="8.69140625" style="1924"/>
    <col min="178" max="178" width="31.23046875" style="1924" bestFit="1" customWidth="1"/>
    <col min="179" max="185" width="11" style="1924" customWidth="1"/>
    <col min="186" max="188" width="8.69140625" style="1924"/>
    <col min="189" max="189" width="44.07421875" style="1924" bestFit="1" customWidth="1"/>
    <col min="190" max="190" width="15.4609375" style="1924" customWidth="1"/>
    <col min="191" max="193" width="10.4609375" style="1924" customWidth="1"/>
    <col min="194" max="194" width="13.23046875" style="1924" bestFit="1" customWidth="1"/>
    <col min="195" max="195" width="13.69140625" style="1924" bestFit="1" customWidth="1"/>
    <col min="196" max="196" width="16.23046875" style="1924" bestFit="1" customWidth="1"/>
    <col min="197" max="197" width="15.69140625" style="1924" bestFit="1" customWidth="1"/>
    <col min="198" max="198" width="14.69140625" style="1924" bestFit="1" customWidth="1"/>
    <col min="199" max="199" width="15.4609375" style="1924" bestFit="1" customWidth="1"/>
    <col min="200" max="202" width="8.69140625" style="1924"/>
    <col min="203" max="203" width="39.4609375" style="1924" customWidth="1"/>
    <col min="204" max="223" width="8.69140625" style="1924"/>
    <col min="224" max="224" width="64.4609375" style="1924" bestFit="1" customWidth="1"/>
    <col min="225" max="227" width="18" style="1924" customWidth="1"/>
    <col min="228" max="230" width="8.69140625" style="1924"/>
    <col min="231" max="231" width="49.23046875" style="1924" bestFit="1" customWidth="1"/>
    <col min="232" max="244" width="10.69140625" style="1924" customWidth="1"/>
    <col min="245" max="246" width="8.69140625" style="1924"/>
    <col min="247" max="247" width="16.23046875" style="1924" bestFit="1" customWidth="1"/>
    <col min="248" max="248" width="50.4609375" style="1924" bestFit="1" customWidth="1"/>
    <col min="249" max="258" width="9.23046875" style="1924" customWidth="1"/>
    <col min="259" max="263" width="8.69140625" style="1924"/>
    <col min="264" max="264" width="10.23046875" style="1924" customWidth="1"/>
    <col min="265" max="265" width="29.23046875" style="1924" customWidth="1"/>
    <col min="266" max="266" width="35.23046875" style="1924" bestFit="1" customWidth="1"/>
    <col min="267" max="267" width="7.69140625" style="1924" customWidth="1"/>
    <col min="268" max="268" width="8.53515625" style="1924" bestFit="1" customWidth="1"/>
    <col min="269" max="269" width="7.07421875" style="1924" customWidth="1"/>
    <col min="270" max="270" width="5.53515625" style="1924" bestFit="1" customWidth="1"/>
    <col min="271" max="271" width="8.07421875" style="1924" bestFit="1" customWidth="1"/>
    <col min="272" max="272" width="8.53515625" style="1924" bestFit="1" customWidth="1"/>
    <col min="273" max="273" width="4.53515625" style="1924" customWidth="1"/>
    <col min="274" max="274" width="8.53515625" style="1924" customWidth="1"/>
    <col min="275" max="276" width="9.07421875" style="1924" customWidth="1"/>
    <col min="277" max="277" width="8.69140625" style="1924"/>
    <col min="278" max="296" width="9.69140625" style="1924" customWidth="1"/>
    <col min="297" max="299" width="8.69140625" style="1924"/>
    <col min="300" max="300" width="25" style="1924" customWidth="1"/>
    <col min="301" max="302" width="35.23046875" style="1924" bestFit="1" customWidth="1"/>
    <col min="303" max="303" width="15.53515625" style="1924" bestFit="1" customWidth="1"/>
    <col min="304" max="307" width="13.69140625" style="1924" customWidth="1"/>
    <col min="308" max="311" width="8.4609375" style="1924" customWidth="1"/>
    <col min="312" max="312" width="8.07421875" style="1924" bestFit="1" customWidth="1"/>
    <col min="313" max="313" width="6.69140625" style="1924" bestFit="1" customWidth="1"/>
    <col min="314" max="314" width="8.4609375" style="1924" customWidth="1"/>
    <col min="315" max="315" width="8.69140625" style="1924"/>
    <col min="316" max="317" width="8.69140625" style="1946"/>
    <col min="318" max="318" width="49.69140625" style="1946" bestFit="1" customWidth="1"/>
    <col min="319" max="323" width="8.69140625" style="1946"/>
    <col min="324" max="324" width="8.69140625" style="1924"/>
    <col min="325" max="325" width="9.23046875" style="1924" customWidth="1"/>
    <col min="326" max="326" width="7.23046875" style="1924" bestFit="1" customWidth="1"/>
    <col min="327" max="327" width="11.69140625" style="1924" bestFit="1" customWidth="1"/>
    <col min="328" max="329" width="10.23046875" style="1924" bestFit="1" customWidth="1"/>
    <col min="330" max="330" width="20.07421875" style="1924" customWidth="1"/>
    <col min="331" max="331" width="11" style="1924" customWidth="1"/>
    <col min="332" max="332" width="13.69140625" style="1924" customWidth="1"/>
    <col min="333" max="333" width="11.53515625" style="1924" customWidth="1"/>
    <col min="334" max="334" width="56.07421875" style="1924" bestFit="1" customWidth="1"/>
    <col min="335" max="335" width="8.69140625" style="1924"/>
    <col min="336" max="336" width="59.23046875" style="1924" customWidth="1"/>
    <col min="337" max="337" width="30.69140625" style="1924" customWidth="1"/>
    <col min="338" max="338" width="11.53515625" style="1924" customWidth="1"/>
    <col min="339" max="342" width="16" style="1924" customWidth="1"/>
    <col min="343" max="343" width="3.69140625" style="1924" customWidth="1"/>
    <col min="344" max="344" width="15.69140625" style="1924" customWidth="1"/>
    <col min="345" max="345" width="8.69140625" style="1924"/>
    <col min="346" max="346" width="55.23046875" style="1924" customWidth="1"/>
    <col min="347" max="347" width="15.07421875" style="1924" customWidth="1"/>
    <col min="348" max="348" width="8.69140625" style="1924"/>
    <col min="349" max="352" width="15.69140625" style="1924" customWidth="1"/>
    <col min="353" max="353" width="2.53515625" style="1924" customWidth="1"/>
    <col min="354" max="354" width="15.69140625" style="1924" customWidth="1"/>
    <col min="355" max="356" width="8.69140625" style="1924"/>
    <col min="357" max="357" width="71.07421875" style="1924" customWidth="1"/>
    <col min="358" max="358" width="26.23046875" style="1924" customWidth="1"/>
    <col min="359" max="359" width="11.23046875" style="1924" customWidth="1"/>
    <col min="360" max="360" width="10.69140625" style="1924" customWidth="1"/>
    <col min="361" max="364" width="8.69140625" style="1924"/>
    <col min="365" max="365" width="11.69140625" style="1924" customWidth="1"/>
    <col min="366" max="16384" width="8.69140625" style="1924"/>
  </cols>
  <sheetData>
    <row r="1" spans="1:376" ht="30" customHeight="1">
      <c r="A1" s="1919" t="str">
        <f>Summary!A1</f>
        <v>Public Health Wales Trust</v>
      </c>
      <c r="B1" s="1919"/>
      <c r="C1" s="1920"/>
      <c r="D1" s="1921"/>
      <c r="E1" s="1921"/>
      <c r="F1" s="1921"/>
      <c r="G1" s="1922" t="str">
        <f>Summary!G1</f>
        <v>Period :</v>
      </c>
      <c r="H1" s="1923" t="str">
        <f>Summary!H1</f>
        <v>Feb 24</v>
      </c>
      <c r="I1" s="1921"/>
      <c r="J1" s="1921"/>
      <c r="K1" s="1921"/>
      <c r="M1" s="1919" t="str">
        <f>'A - Movement'!A1</f>
        <v>Public Health Wales Trust</v>
      </c>
      <c r="N1" s="1925"/>
      <c r="O1" s="1925"/>
      <c r="P1" s="1925"/>
      <c r="Q1" s="1925"/>
      <c r="R1" s="1925" t="str">
        <f>'A - Movement'!E1</f>
        <v>Period :</v>
      </c>
      <c r="S1" s="1926" t="str">
        <f>'A - Movement'!F1</f>
        <v>Feb 24</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Feb 24</v>
      </c>
      <c r="AN1" s="1926"/>
      <c r="AO1" s="1927"/>
      <c r="AP1" s="127" t="str">
        <f>'A1 - Underlying Position'!A1</f>
        <v>Public Health Wales Trust</v>
      </c>
      <c r="AQ1" s="150"/>
      <c r="AR1" s="1377"/>
      <c r="AS1" s="1377"/>
      <c r="AT1" s="1378"/>
      <c r="AU1" s="1378"/>
      <c r="AV1" s="1377" t="str">
        <f>'A1 - Underlying Position'!G1</f>
        <v>Period :</v>
      </c>
      <c r="AW1" s="1416" t="str">
        <f>'A1 - Underlying Position'!H1</f>
        <v>Feb 24</v>
      </c>
      <c r="AX1" s="1744"/>
      <c r="AZ1" s="79" t="str">
        <f>'A2 - Risks'!A1</f>
        <v>Public Health Wales Trust</v>
      </c>
      <c r="BA1" s="71"/>
      <c r="BB1" s="70" t="str">
        <f>'A2 - Risks'!C1</f>
        <v xml:space="preserve">Period : </v>
      </c>
      <c r="BC1" s="151" t="str">
        <f>'A2 - Risks'!D1</f>
        <v>Feb 24</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Feb 24</v>
      </c>
      <c r="CL1" s="80"/>
      <c r="CM1" s="80"/>
      <c r="CO1" s="1357" t="str">
        <f>'B2 - Pay &amp; Agency'!A1</f>
        <v>Public Health Wales Trust</v>
      </c>
      <c r="CP1" s="373"/>
      <c r="CQ1" s="80"/>
      <c r="CR1" s="373" t="str">
        <f>'B2 - Pay &amp; Agency'!D1</f>
        <v xml:space="preserve">Period :  </v>
      </c>
      <c r="CS1" s="1303" t="str">
        <f>'B2 - Pay &amp; Agency'!E1</f>
        <v>Feb 24</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Feb 24</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Feb 24</v>
      </c>
      <c r="HL1" s="71"/>
      <c r="HM1" s="71"/>
      <c r="HO1" s="1919" t="str">
        <f>'F - SoFP'!A1</f>
        <v>Public Health Wales Trust</v>
      </c>
      <c r="HP1" s="1744"/>
      <c r="HQ1" s="1935" t="str">
        <f>'F - SoFP'!C1</f>
        <v>Period :</v>
      </c>
      <c r="HR1" s="1936" t="str">
        <f>'F - SoFP'!D1</f>
        <v>Feb 24</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Feb 24</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Feb 24</v>
      </c>
      <c r="JB1" s="1744"/>
      <c r="JD1" s="1919" t="str">
        <f>'I - Capital RLM'!A1</f>
        <v>Public Health Wales Trust</v>
      </c>
      <c r="JE1" s="1744"/>
      <c r="JF1" s="1744"/>
      <c r="JG1" s="1744"/>
      <c r="JH1" s="1744"/>
      <c r="JI1" s="1942"/>
      <c r="JJ1" s="1744"/>
      <c r="JK1" s="1939" t="str">
        <f>'I - Capital RLM'!H1</f>
        <v xml:space="preserve">Period : </v>
      </c>
      <c r="JL1" s="1923" t="str">
        <f>'I - Capital RLM'!I1</f>
        <v>Feb 24</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Feb 24</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Feb 24</v>
      </c>
      <c r="LB1" s="1744"/>
      <c r="LC1" s="1945"/>
      <c r="LE1" s="1357" t="str">
        <f>'L - EFL'!A1</f>
        <v>Public Health Wales Trust</v>
      </c>
      <c r="LF1" s="1641"/>
      <c r="LG1" s="71"/>
      <c r="LH1" s="150" t="str">
        <f>'L - EFL'!D1</f>
        <v xml:space="preserve">Period :  </v>
      </c>
      <c r="LI1" s="1640" t="str">
        <f>'L - EFL'!E1</f>
        <v>Feb 24</v>
      </c>
      <c r="LJ1" s="71"/>
      <c r="LL1" s="1747"/>
      <c r="LM1" s="810" t="str">
        <f>'M - Aged Debtors'!B1</f>
        <v>Public Health Wales Trust</v>
      </c>
      <c r="LN1" s="881"/>
      <c r="LO1" s="882"/>
      <c r="LP1" s="882"/>
      <c r="LQ1" s="1159"/>
      <c r="LR1" s="1748"/>
      <c r="LS1" s="814"/>
      <c r="LT1" s="1145" t="s">
        <v>461</v>
      </c>
      <c r="LU1" s="988" t="str">
        <f>'M - Aged Debtors'!J1</f>
        <v>Feb 24</v>
      </c>
      <c r="LV1" s="1747"/>
      <c r="LX1" s="421" t="str">
        <f>'N - GMS'!A1</f>
        <v>Public Health Wales Trust</v>
      </c>
      <c r="LY1" s="69"/>
      <c r="LZ1" s="422"/>
      <c r="MA1" s="423" t="str">
        <f>'N - GMS'!D1</f>
        <v>Period :</v>
      </c>
      <c r="MB1" s="423" t="str">
        <f>'N - GMS'!E1</f>
        <v>Feb 24</v>
      </c>
      <c r="MC1" s="423"/>
      <c r="MD1" s="423"/>
      <c r="ME1" s="423"/>
      <c r="MF1" s="423"/>
      <c r="MH1" s="421" t="str">
        <f>'O - Dental'!A1</f>
        <v>Public Health Wales Trust</v>
      </c>
      <c r="MI1" s="80"/>
      <c r="MJ1" s="684"/>
      <c r="MK1" s="685"/>
      <c r="ML1" s="685"/>
      <c r="MM1" s="423" t="str">
        <f>'O - Dental'!F1</f>
        <v>Period :</v>
      </c>
      <c r="MN1" s="423" t="str">
        <f>'O - Dental'!G1</f>
        <v>Feb 24</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Feb 24</v>
      </c>
      <c r="NB1" s="683"/>
      <c r="NC1" s="683"/>
      <c r="ND1" s="683"/>
      <c r="NE1" s="683"/>
      <c r="NF1" s="683"/>
      <c r="NG1" s="683"/>
      <c r="NH1" s="683"/>
      <c r="NI1" s="683"/>
      <c r="NJ1" s="683"/>
      <c r="NK1" s="683"/>
    </row>
    <row r="2" spans="1:376" ht="20.149999999999999"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Feb 24 =</v>
      </c>
      <c r="LT2" s="1162">
        <f>'M - Aged Debtors'!I2</f>
        <v>45274</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49999999999999"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Feb 24</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Feb 24</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Feb 24</v>
      </c>
      <c r="FS3" s="1931"/>
      <c r="FU3" s="1939"/>
      <c r="FV3" s="1939"/>
      <c r="FW3" s="1744"/>
      <c r="FX3" s="1744"/>
      <c r="FY3" s="1744"/>
      <c r="FZ3" s="1744"/>
      <c r="GA3" s="1744"/>
      <c r="GB3" s="1925" t="str">
        <f>'D - Welsh NHS Assumptions'!H3</f>
        <v>Period :</v>
      </c>
      <c r="GC3" s="1940" t="str">
        <f>'D - Welsh NHS Assumptions'!I3</f>
        <v>Feb 24</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Feb 24 =</v>
      </c>
      <c r="LT3" s="1164">
        <f>'M - Aged Debtors'!I3</f>
        <v>45232</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052" t="str">
        <f>'E - Resource Limits'!C4</f>
        <v>STATUS OF ISSUED</v>
      </c>
      <c r="GI4" s="3053"/>
      <c r="GJ4" s="3053"/>
      <c r="GK4" s="3053"/>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069" t="str">
        <f>'A2 - Risks'!C5</f>
        <v>FORECAST YEAR END</v>
      </c>
      <c r="BC5" s="3070"/>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11</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054" t="str">
        <f>'E - Resource Limits'!C5</f>
        <v>RESOURCE LIMIT ITEMS</v>
      </c>
      <c r="GI5" s="3055"/>
      <c r="GJ5" s="3055"/>
      <c r="GK5" s="3055"/>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031" t="str">
        <f>'P - Ringfenced'!B5</f>
        <v>Table A: Allocation Paper (23/24 New Ring Fenced)</v>
      </c>
      <c r="MT5" s="3032"/>
      <c r="MU5" s="3027"/>
      <c r="MV5" s="3027"/>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1</v>
      </c>
      <c r="CE6" s="107">
        <f>' Table Z Net Exp Profiles'!H6</f>
        <v>1</v>
      </c>
      <c r="CF6" s="107">
        <f>' Table Z Net Exp Profiles'!I6</f>
        <v>1</v>
      </c>
      <c r="CG6" s="107">
        <f>' Table Z Net Exp Profiles'!J6</f>
        <v>1</v>
      </c>
      <c r="CH6" s="107">
        <f>' Table Z Net Exp Profiles'!K6</f>
        <v>1</v>
      </c>
      <c r="CI6" s="107">
        <f>' Table Z Net Exp Profiles'!L6</f>
        <v>1</v>
      </c>
      <c r="CJ6" s="107">
        <f>' Table Z Net Exp Profiles'!M6</f>
        <v>1</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Betsi Cadwaladr ULHB</v>
      </c>
      <c r="LN6" s="1761">
        <f>'M - Aged Debtors'!C6</f>
        <v>50057016</v>
      </c>
      <c r="LO6" s="1762">
        <f>'M - Aged Debtors'!D6</f>
        <v>45258</v>
      </c>
      <c r="LP6" s="1763">
        <f>'M - Aged Debtors'!E6</f>
        <v>73867.850000000006</v>
      </c>
      <c r="LQ6" s="1971">
        <f>'M - Aged Debtors'!F6</f>
        <v>73867.850000000006</v>
      </c>
      <c r="LR6" s="1165" t="str">
        <f>'M - Aged Debtors'!G6</f>
        <v>Yes, valid entry for period</v>
      </c>
      <c r="LS6" s="826">
        <f>'M - Aged Debtors'!H6</f>
        <v>73867.850000000006</v>
      </c>
      <c r="LT6" s="826" t="str">
        <f>'M - Aged Debtors'!I6</f>
        <v/>
      </c>
      <c r="LU6" s="827">
        <f>'M - Aged Debtors'!J6</f>
        <v>45377</v>
      </c>
      <c r="LV6" s="1756" t="str">
        <f>'M - Aged Debtors'!K6</f>
        <v>Arbitration Letter sent to Andrea Hughes (BCU HB) 07.03.24</v>
      </c>
      <c r="LX6" s="127" t="str">
        <f>'N - GMS'!A6</f>
        <v>Operating Expenditure - ring fenced GMS budget</v>
      </c>
      <c r="LY6" s="431"/>
      <c r="LZ6" s="870"/>
      <c r="MA6" s="871"/>
      <c r="MB6" s="871"/>
      <c r="MC6" s="872"/>
      <c r="MD6" s="436"/>
      <c r="ME6" s="436"/>
      <c r="MF6" s="436"/>
      <c r="MH6" s="693"/>
      <c r="MI6" s="693"/>
      <c r="MJ6" s="693"/>
      <c r="MK6" s="3076">
        <f>'O - Dental'!D6</f>
        <v>0</v>
      </c>
      <c r="ML6" s="3076"/>
      <c r="MM6" s="3076"/>
      <c r="MN6" s="3076"/>
      <c r="MO6" s="3077"/>
      <c r="MP6" s="3076"/>
      <c r="MR6" s="683"/>
      <c r="MS6" s="3033"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49999999999999"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Feb 24</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3445</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Cwm Taf Morgannwg ULHB</v>
      </c>
      <c r="LN7" s="1761">
        <f>'M - Aged Debtors'!C7</f>
        <v>50057012</v>
      </c>
      <c r="LO7" s="1762">
        <f>'M - Aged Debtors'!D7</f>
        <v>45258</v>
      </c>
      <c r="LP7" s="1763">
        <f>'M - Aged Debtors'!E7</f>
        <v>57264.59</v>
      </c>
      <c r="LQ7" s="1971">
        <f>'M - Aged Debtors'!F7</f>
        <v>57264.59</v>
      </c>
      <c r="LR7" s="1165" t="str">
        <f>'M - Aged Debtors'!G7</f>
        <v>Yes, valid entry for period</v>
      </c>
      <c r="LS7" s="828">
        <f>'M - Aged Debtors'!H7</f>
        <v>57264.59</v>
      </c>
      <c r="LT7" s="828" t="str">
        <f>'M - Aged Debtors'!I7</f>
        <v/>
      </c>
      <c r="LU7" s="829">
        <f>'M - Aged Debtors'!J7</f>
        <v>45377</v>
      </c>
      <c r="LV7" s="1756" t="str">
        <f>'M - Aged Debtors'!K7</f>
        <v>Arbitration Letter sent to Mark Thomas (CTM) 07.03.24</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034">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49999999999999"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073"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2998.5833333333326</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0.91190000000000004</v>
      </c>
      <c r="IS8" s="958">
        <f>'H - PSPP'!G8</f>
        <v>-3.8099999999999912E-2</v>
      </c>
      <c r="IT8" s="1759">
        <f>'H - PSPP'!H8</f>
        <v>0.90610000000000002</v>
      </c>
      <c r="IU8" s="958">
        <f>'H - PSPP'!I8</f>
        <v>-4.3899999999999939E-2</v>
      </c>
      <c r="IV8" s="1759">
        <f>'H - PSPP'!J8</f>
        <v>0</v>
      </c>
      <c r="IW8" s="958">
        <f>'H - PSPP'!K8</f>
        <v>-0.95</v>
      </c>
      <c r="IX8" s="1759">
        <f>'H - PSPP'!L8</f>
        <v>0.93640000000000001</v>
      </c>
      <c r="IY8" s="958">
        <f>'H - PSPP'!M8</f>
        <v>-1.3599999999999945E-2</v>
      </c>
      <c r="IZ8" s="1759">
        <f>'H - PSPP'!N8</f>
        <v>0.95</v>
      </c>
      <c r="JA8" s="958">
        <f>'H - PSPP'!O8</f>
        <v>0</v>
      </c>
      <c r="JB8" s="1744"/>
      <c r="JD8" s="1744"/>
      <c r="JE8" s="1925" t="str">
        <f>'I - Capital RLM'!B8</f>
        <v xml:space="preserve">Approved CRL / CEL issued at : </v>
      </c>
      <c r="JF8" s="1992">
        <f>'I - Capital RLM'!C8</f>
        <v>45336</v>
      </c>
      <c r="JG8" s="1744"/>
      <c r="JH8" s="1744"/>
      <c r="JI8" s="1942"/>
      <c r="JJ8" s="1744"/>
      <c r="JK8" s="1744"/>
      <c r="JL8" s="1744"/>
      <c r="JM8" s="1943"/>
      <c r="JN8" s="1943"/>
      <c r="JO8" s="1943"/>
      <c r="JQ8" s="1989"/>
      <c r="JR8" s="1990" t="str">
        <f>'J - Capital In Year Schemes'!B8</f>
        <v>All Wales Capital Programme:</v>
      </c>
      <c r="JS8" s="1993"/>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f>'M - Aged Debtors'!B8</f>
        <v>0</v>
      </c>
      <c r="LN8" s="1761">
        <f>'M - Aged Debtors'!C8</f>
        <v>0</v>
      </c>
      <c r="LO8" s="1762">
        <f>'M - Aged Debtors'!D8</f>
        <v>0</v>
      </c>
      <c r="LP8" s="1763">
        <f>'M - Aged Debtors'!E8</f>
        <v>0</v>
      </c>
      <c r="LQ8" s="1971">
        <f>'M - Aged Debtors'!F8</f>
        <v>0</v>
      </c>
      <c r="LR8" s="1165" t="str">
        <f>'M - Aged Debtors'!G8</f>
        <v/>
      </c>
      <c r="LS8" s="828" t="str">
        <f>'M - Aged Debtors'!H8</f>
        <v/>
      </c>
      <c r="LT8" s="828" t="str">
        <f>'M - Aged Debtors'!I8</f>
        <v/>
      </c>
      <c r="LU8" s="829" t="str">
        <f>'M - Aged Debtors'!J8</f>
        <v/>
      </c>
      <c r="LV8" s="1756">
        <f>'M - Aged Debtors'!K8</f>
        <v>0</v>
      </c>
      <c r="LX8" s="153"/>
      <c r="LY8" s="153"/>
      <c r="LZ8" s="153"/>
      <c r="MA8" s="3084"/>
      <c r="MB8" s="3084"/>
      <c r="MC8" s="3084"/>
      <c r="MD8" s="3084"/>
      <c r="ME8" s="3085"/>
      <c r="MF8" s="3084"/>
      <c r="MH8" s="3086" t="str">
        <f>'O - Dental'!A8</f>
        <v>Expenditure / activities included in a GDS contract and / or PDS agreement</v>
      </c>
      <c r="MI8" s="3087"/>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034">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49999999999999"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1</v>
      </c>
      <c r="EG9" s="107">
        <f>'C, C1, C2&amp; C3 - Savings Schemes'!I9</f>
        <v>1</v>
      </c>
      <c r="EH9" s="107">
        <f>'C, C1, C2&amp; C3 - Savings Schemes'!J9</f>
        <v>1</v>
      </c>
      <c r="EI9" s="107">
        <f>'C, C1, C2&amp; C3 - Savings Schemes'!K9</f>
        <v>1</v>
      </c>
      <c r="EJ9" s="107">
        <f>'C, C1, C2&amp; C3 - Savings Schemes'!L9</f>
        <v>1</v>
      </c>
      <c r="EK9" s="107">
        <f>'C, C1, C2&amp; C3 - Savings Schemes'!M9</f>
        <v>1</v>
      </c>
      <c r="EL9" s="107">
        <f>'C, C1, C2&amp; C3 - Savings Schemes'!N9</f>
        <v>1</v>
      </c>
      <c r="EM9" s="107">
        <f>'C, C1, C2&amp; C3 - Savings Schemes'!O9</f>
        <v>0</v>
      </c>
      <c r="EN9" s="109">
        <f>'C, C1, C2&amp; C3 - Savings Schemes'!P9</f>
        <v>0</v>
      </c>
      <c r="EO9" s="141"/>
      <c r="EP9" s="82"/>
      <c r="EQ9" s="82"/>
      <c r="ER9" s="82"/>
      <c r="ES9" s="82"/>
      <c r="ET9" s="82"/>
      <c r="EU9" s="82"/>
      <c r="EV9" s="82"/>
      <c r="EW9" s="82"/>
      <c r="EX9" s="3074"/>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2998.5833333333326</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31968</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0.89539999999999997</v>
      </c>
      <c r="IS9" s="958">
        <f>'H - PSPP'!G9</f>
        <v>-5.4599999999999982E-2</v>
      </c>
      <c r="IT9" s="1759">
        <f>'H - PSPP'!H9</f>
        <v>0.86709999999999998</v>
      </c>
      <c r="IU9" s="958">
        <f>'H - PSPP'!I9</f>
        <v>-8.2899999999999974E-2</v>
      </c>
      <c r="IV9" s="1759">
        <f>'H - PSPP'!J9</f>
        <v>0</v>
      </c>
      <c r="IW9" s="958">
        <f>'H - PSPP'!K9</f>
        <v>-0.95</v>
      </c>
      <c r="IX9" s="1759">
        <f>'H - PSPP'!L9</f>
        <v>0.91569999999999996</v>
      </c>
      <c r="IY9" s="958">
        <f>'H - PSPP'!M9</f>
        <v>-3.4299999999999997E-2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080"/>
      <c r="JU9" s="3081"/>
      <c r="JV9" s="3054"/>
      <c r="JW9" s="3055"/>
      <c r="JX9" s="3055"/>
      <c r="JY9" s="3055"/>
      <c r="JZ9" s="3055"/>
      <c r="KA9" s="3055"/>
      <c r="KB9" s="3055"/>
      <c r="KC9" s="3055"/>
      <c r="KD9" s="3055"/>
      <c r="KE9" s="3055"/>
      <c r="KF9" s="3055"/>
      <c r="KG9" s="3083"/>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088" t="str">
        <f>'K - Capital Disposals'!J9</f>
        <v>Comments</v>
      </c>
      <c r="KW9" s="3089"/>
      <c r="KX9" s="3089"/>
      <c r="KY9" s="3089"/>
      <c r="KZ9" s="3089"/>
      <c r="LA9" s="3089"/>
      <c r="LB9" s="3090"/>
      <c r="LC9" s="1934"/>
      <c r="LE9" s="71"/>
      <c r="LF9" s="71"/>
      <c r="LG9" s="1630" t="str">
        <f>'L - EFL'!C9</f>
        <v>£'000</v>
      </c>
      <c r="LH9" s="1630" t="str">
        <f>'L - EFL'!D9</f>
        <v>£'000</v>
      </c>
      <c r="LI9" s="1629" t="str">
        <f>'L - EFL'!E9</f>
        <v>£'000</v>
      </c>
      <c r="LJ9" s="1628" t="str">
        <f>'L - EFL'!F9</f>
        <v>£'000</v>
      </c>
      <c r="LL9" s="813"/>
      <c r="LM9" s="1760">
        <f>'M - Aged Debtors'!B9</f>
        <v>0</v>
      </c>
      <c r="LN9" s="1761">
        <f>'M - Aged Debtors'!C9</f>
        <v>0</v>
      </c>
      <c r="LO9" s="1762">
        <f>'M - Aged Debtors'!D9</f>
        <v>0</v>
      </c>
      <c r="LP9" s="1763">
        <f>'M - Aged Debtors'!E9</f>
        <v>0</v>
      </c>
      <c r="LQ9" s="1971">
        <f>'M - Aged Debtors'!F9</f>
        <v>0</v>
      </c>
      <c r="LR9" s="1165" t="str">
        <f>'M - Aged Debtors'!G9</f>
        <v/>
      </c>
      <c r="LS9" s="828" t="str">
        <f>'M - Aged Debtors'!H9</f>
        <v/>
      </c>
      <c r="LT9" s="828" t="str">
        <f>'M - Aged Debtors'!I9</f>
        <v/>
      </c>
      <c r="LU9" s="829" t="str">
        <f>'M - Aged Debtors'!J9</f>
        <v/>
      </c>
      <c r="LV9" s="1756">
        <f>'M - Aged Debtors'!K9</f>
        <v>0</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035">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6755</v>
      </c>
      <c r="CV10" s="1768">
        <f>'B2 - Pay &amp; Agency'!H10</f>
        <v>6544</v>
      </c>
      <c r="CW10" s="1768">
        <f>'B2 - Pay &amp; Agency'!I10</f>
        <v>6503</v>
      </c>
      <c r="CX10" s="1768">
        <f>'B2 - Pay &amp; Agency'!J10</f>
        <v>6542</v>
      </c>
      <c r="CY10" s="1768">
        <f>'B2 - Pay &amp; Agency'!K10</f>
        <v>6835</v>
      </c>
      <c r="CZ10" s="1768">
        <f>'B2 - Pay &amp; Agency'!L10</f>
        <v>6701</v>
      </c>
      <c r="DA10" s="1768">
        <f>'B2 - Pay &amp; Agency'!M10</f>
        <v>2939</v>
      </c>
      <c r="DB10" s="1769">
        <f>'B2 - Pay &amp; Agency'!N10</f>
        <v>7207.5309833333331</v>
      </c>
      <c r="DC10" s="1131">
        <f>'B2 - Pay &amp; Agency'!O10</f>
        <v>69372</v>
      </c>
      <c r="DD10" s="1322">
        <f>'B2 - Pay &amp; Agency'!P10</f>
        <v>76579.53098333333</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39.096609999999998</v>
      </c>
      <c r="DM10" s="1902">
        <f>'B3 - COVID-19'!H10</f>
        <v>52.505600000000008</v>
      </c>
      <c r="DN10" s="1902">
        <f>'B3 - COVID-19'!I10</f>
        <v>19.189489999999999</v>
      </c>
      <c r="DO10" s="1902">
        <f>'B3 - COVID-19'!J10</f>
        <v>18.692790000000002</v>
      </c>
      <c r="DP10" s="1902">
        <f>'B3 - COVID-19'!K10</f>
        <v>17.403950000000002</v>
      </c>
      <c r="DQ10" s="1902">
        <f>'B3 - COVID-19'!L10</f>
        <v>16.024190000000001</v>
      </c>
      <c r="DR10" s="1902">
        <f>'B3 - COVID-19'!M10</f>
        <v>29.026669999999999</v>
      </c>
      <c r="DS10" s="1902">
        <f>'B3 - COVID-19'!N10</f>
        <v>16.993336666666668</v>
      </c>
      <c r="DT10" s="1862">
        <f>'B3 - COVID-19'!O10</f>
        <v>292.92680000000007</v>
      </c>
      <c r="DU10" s="1862">
        <f>'B3 - COVID-19'!P10</f>
        <v>309.92013666666674</v>
      </c>
      <c r="DV10" s="608"/>
      <c r="DW10" s="1115"/>
      <c r="DY10" s="1986"/>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19"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6"/>
      <c r="EX10" s="3074"/>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556</v>
      </c>
      <c r="HH10" s="1770">
        <f>'E1 - Invoiced Income'!O10</f>
        <v>2048</v>
      </c>
      <c r="HI10" s="1770">
        <f>'E1 - Invoiced Income'!P10</f>
        <v>190074.05074666665</v>
      </c>
      <c r="HJ10" s="1770">
        <f>'E1 - Invoiced Income'!R10</f>
        <v>190</v>
      </c>
      <c r="HK10" s="1770">
        <f>'E1 - Invoiced Income'!S10</f>
        <v>0</v>
      </c>
      <c r="HL10" s="1658">
        <f>'E1 - Invoiced Income'!T10</f>
        <v>218998.05074666665</v>
      </c>
      <c r="HM10" s="157">
        <f>'E1 - Invoiced Income'!U10</f>
        <v>0</v>
      </c>
      <c r="HO10" s="2006">
        <f>'F - SoFP'!A10</f>
        <v>2</v>
      </c>
      <c r="HP10" s="2007" t="str">
        <f>'F - SoFP'!B10</f>
        <v>Intangible assets</v>
      </c>
      <c r="HQ10" s="2008">
        <f>'F - SoFP'!C10</f>
        <v>869</v>
      </c>
      <c r="HR10" s="2009">
        <f>'F - SoFP'!D10</f>
        <v>561</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0.97260000000000002</v>
      </c>
      <c r="IS10" s="958">
        <f>'H - PSPP'!G10</f>
        <v>2.2600000000000064E-2</v>
      </c>
      <c r="IT10" s="1759">
        <f>'H - PSPP'!H10</f>
        <v>0.9647</v>
      </c>
      <c r="IU10" s="958">
        <f>'H - PSPP'!I10</f>
        <v>1.4700000000000046E-2</v>
      </c>
      <c r="IV10" s="1759">
        <f>'H - PSPP'!J10</f>
        <v>0</v>
      </c>
      <c r="IW10" s="958">
        <f>'H - PSPP'!K10</f>
        <v>-0.95</v>
      </c>
      <c r="IX10" s="1759">
        <f>'H - PSPP'!L10</f>
        <v>0.9607</v>
      </c>
      <c r="IY10" s="958">
        <f>'H - PSPP'!M10</f>
        <v>1.0700000000000043E-2</v>
      </c>
      <c r="IZ10" s="1759">
        <f>'H - PSPP'!N10</f>
        <v>0.95</v>
      </c>
      <c r="JA10" s="958">
        <f>'H - PSPP'!O10</f>
        <v>0</v>
      </c>
      <c r="JB10" s="1744"/>
      <c r="JD10" s="1989"/>
      <c r="JE10" s="1990"/>
      <c r="JF10" s="3091" t="str">
        <f>'I - Capital RLM'!C10</f>
        <v>Year To Date</v>
      </c>
      <c r="JG10" s="3092"/>
      <c r="JH10" s="3093"/>
      <c r="JI10" s="2029">
        <f>'I - Capital RLM'!F10</f>
        <v>0</v>
      </c>
      <c r="JJ10" s="3091" t="str">
        <f>'I - Capital RLM'!G10</f>
        <v>Forecast</v>
      </c>
      <c r="JK10" s="3092"/>
      <c r="JL10" s="3093"/>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4"/>
      <c r="KW10" s="3095"/>
      <c r="KX10" s="3095"/>
      <c r="KY10" s="3095"/>
      <c r="KZ10" s="3095"/>
      <c r="LA10" s="3095"/>
      <c r="LB10" s="3096"/>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f>'M - Aged Debtors'!B10</f>
        <v>0</v>
      </c>
      <c r="LN10" s="1761">
        <f>'M - Aged Debtors'!C10</f>
        <v>0</v>
      </c>
      <c r="LO10" s="1762">
        <f>'M - Aged Debtors'!D10</f>
        <v>0</v>
      </c>
      <c r="LP10" s="1763">
        <f>'M - Aged Debtors'!E10</f>
        <v>0</v>
      </c>
      <c r="LQ10" s="1971">
        <f>'M - Aged Debtors'!F10</f>
        <v>0</v>
      </c>
      <c r="LR10" s="1165" t="str">
        <f>'M - Aged Debtors'!G10</f>
        <v/>
      </c>
      <c r="LS10" s="828" t="str">
        <f>'M - Aged Debtors'!H10</f>
        <v/>
      </c>
      <c r="LT10" s="828" t="str">
        <f>'M - Aged Debtors'!I10</f>
        <v/>
      </c>
      <c r="LU10" s="829" t="str">
        <f>'M - Aged Debtors'!J10</f>
        <v/>
      </c>
      <c r="LV10" s="1756">
        <f>'M - Aged Debtors'!K10</f>
        <v>0</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033"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49999999999999" customHeight="1" thickBot="1">
      <c r="A11" s="2034">
        <f>Summary!A11</f>
        <v>1</v>
      </c>
      <c r="B11" s="2035" t="str">
        <f>Summary!B11</f>
        <v>Under / (Over) Performance</v>
      </c>
      <c r="C11" s="2036">
        <f>Summary!C11</f>
        <v>105</v>
      </c>
      <c r="D11" s="2036">
        <f>Summary!D11</f>
        <v>1.6370904631912708E-11</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1318</v>
      </c>
      <c r="CV11" s="1776">
        <f>'B2 - Pay &amp; Agency'!H11</f>
        <v>1309</v>
      </c>
      <c r="CW11" s="1776">
        <f>'B2 - Pay &amp; Agency'!I11</f>
        <v>1676</v>
      </c>
      <c r="CX11" s="1776">
        <f>'B2 - Pay &amp; Agency'!J11</f>
        <v>1310</v>
      </c>
      <c r="CY11" s="1776">
        <f>'B2 - Pay &amp; Agency'!K11</f>
        <v>1234</v>
      </c>
      <c r="CZ11" s="1776">
        <f>'B2 - Pay &amp; Agency'!L11</f>
        <v>1338</v>
      </c>
      <c r="DA11" s="1776">
        <f>'B2 - Pay &amp; Agency'!M11</f>
        <v>1586</v>
      </c>
      <c r="DB11" s="1777">
        <f>'B2 - Pay &amp; Agency'!N11</f>
        <v>1545</v>
      </c>
      <c r="DC11" s="1323">
        <f>'B2 - Pay &amp; Agency'!O11</f>
        <v>14910</v>
      </c>
      <c r="DD11" s="1324">
        <f>'B2 - Pay &amp; Agency'!P11</f>
        <v>16455</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062"/>
      <c r="EW11" s="2042"/>
      <c r="EX11" s="3074"/>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0.96540000000000004</v>
      </c>
      <c r="IS11" s="958">
        <f>'H - PSPP'!G11</f>
        <v>1.540000000000008E-2</v>
      </c>
      <c r="IT11" s="1759">
        <f>'H - PSPP'!H11</f>
        <v>0.96850000000000003</v>
      </c>
      <c r="IU11" s="958">
        <f>'H - PSPP'!I11</f>
        <v>1.8500000000000072E-2</v>
      </c>
      <c r="IV11" s="1759">
        <f>'H - PSPP'!J11</f>
        <v>0</v>
      </c>
      <c r="IW11" s="958">
        <f>'H - PSPP'!K11</f>
        <v>-0.95</v>
      </c>
      <c r="IX11" s="1759">
        <f>'H - PSPP'!L11</f>
        <v>0.96779999999999999</v>
      </c>
      <c r="IY11" s="958">
        <f>'H - PSPP'!M11</f>
        <v>1.7800000000000038E-2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t="str">
        <f>'K - Capital Disposals'!B11</f>
        <v>P000614 - Qiagen QIAExel Capiliary electrophoresis</v>
      </c>
      <c r="KO11" s="2061">
        <f>'K - Capital Disposals'!C11</f>
        <v>0</v>
      </c>
      <c r="KP11" s="2061">
        <f>'K - Capital Disposals'!D11</f>
        <v>0</v>
      </c>
      <c r="KQ11" s="2062" t="str">
        <f>'K - Capital Disposals'!E11</f>
        <v>Apr 23</v>
      </c>
      <c r="KR11" s="2063">
        <f>'K - Capital Disposals'!F11</f>
        <v>1</v>
      </c>
      <c r="KS11" s="2063">
        <f>'K - Capital Disposals'!G11</f>
        <v>0</v>
      </c>
      <c r="KT11" s="2053">
        <f>'K - Capital Disposals'!H11</f>
        <v>0</v>
      </c>
      <c r="KU11" s="2054">
        <f>'K - Capital Disposals'!I11</f>
        <v>-1</v>
      </c>
      <c r="KV11" s="3097">
        <f>'K - Capital Disposals'!J11</f>
        <v>0</v>
      </c>
      <c r="KW11" s="3095"/>
      <c r="KX11" s="3095"/>
      <c r="KY11" s="3095"/>
      <c r="KZ11" s="3095"/>
      <c r="LA11" s="3095"/>
      <c r="LB11" s="3096"/>
      <c r="LC11" s="1934"/>
      <c r="LE11" s="1614">
        <f>'L - EFL'!A11</f>
        <v>1</v>
      </c>
      <c r="LF11" s="1613" t="str">
        <f>'L - EFL'!B11</f>
        <v>Retained surplus/(deficit) for period</v>
      </c>
      <c r="LG11" s="1778">
        <f>'L - EFL'!C11</f>
        <v>0</v>
      </c>
      <c r="LH11" s="1778">
        <f>'L - EFL'!D11</f>
        <v>1.6370904631912708E-11</v>
      </c>
      <c r="LI11" s="1612">
        <f>'L - EFL'!E11</f>
        <v>1.6370904631912708E-11</v>
      </c>
      <c r="LJ11" s="1778">
        <f>'L - EFL'!F11</f>
        <v>105</v>
      </c>
      <c r="LL11" s="813"/>
      <c r="LM11" s="1760">
        <f>'M - Aged Debtors'!B11</f>
        <v>0</v>
      </c>
      <c r="LN11" s="1761">
        <f>'M - Aged Debtors'!C11</f>
        <v>0</v>
      </c>
      <c r="LO11" s="1762">
        <f>'M - Aged Debtors'!D11</f>
        <v>0</v>
      </c>
      <c r="LP11" s="1763">
        <f>'M - Aged Debtors'!E11</f>
        <v>0</v>
      </c>
      <c r="LQ11" s="1971">
        <f>'M - Aged Debtors'!F11</f>
        <v>0</v>
      </c>
      <c r="LR11" s="1165" t="str">
        <f>'M - Aged Debtors'!G11</f>
        <v/>
      </c>
      <c r="LS11" s="828" t="str">
        <f>'M - Aged Debtors'!H11</f>
        <v/>
      </c>
      <c r="LT11" s="828" t="str">
        <f>'M - Aged Debtors'!I11</f>
        <v/>
      </c>
      <c r="LU11" s="829" t="str">
        <f>'M - Aged Debtors'!J11</f>
        <v/>
      </c>
      <c r="LV11" s="1756">
        <f>'M - Aged Debtors'!K11</f>
        <v>0</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034">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49999999999999"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-30814.666666666661</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250</v>
      </c>
      <c r="BS12" s="1785">
        <f>'B - Monthly Positions'!O12</f>
        <v>0</v>
      </c>
      <c r="BT12" s="1781">
        <f>'B - Monthly Positions'!P12</f>
        <v>250</v>
      </c>
      <c r="BU12" s="1781">
        <f>'B - Monthly Positions'!Q12</f>
        <v>250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513</v>
      </c>
      <c r="CV12" s="1776">
        <f>'B2 - Pay &amp; Agency'!H12</f>
        <v>499</v>
      </c>
      <c r="CW12" s="1776">
        <f>'B2 - Pay &amp; Agency'!I12</f>
        <v>523</v>
      </c>
      <c r="CX12" s="1776">
        <f>'B2 - Pay &amp; Agency'!J12</f>
        <v>544</v>
      </c>
      <c r="CY12" s="1776">
        <f>'B2 - Pay &amp; Agency'!K12</f>
        <v>545</v>
      </c>
      <c r="CZ12" s="1776">
        <f>'B2 - Pay &amp; Agency'!L12</f>
        <v>551</v>
      </c>
      <c r="DA12" s="1776">
        <f>'B2 - Pay &amp; Agency'!M12</f>
        <v>556</v>
      </c>
      <c r="DB12" s="1777">
        <f>'B2 - Pay &amp; Agency'!N12</f>
        <v>520.35308666666663</v>
      </c>
      <c r="DC12" s="1323">
        <f>'B2 - Pay &amp; Agency'!O12</f>
        <v>5861</v>
      </c>
      <c r="DD12" s="1324">
        <f>'B2 - Pay &amp; Agency'!P12</f>
        <v>6381.353086666667</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074"/>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t="str">
        <f>'K - Capital Disposals'!B12</f>
        <v>P000645 - EpiCentre Interface</v>
      </c>
      <c r="KO12" s="2061">
        <f>'K - Capital Disposals'!C12</f>
        <v>0</v>
      </c>
      <c r="KP12" s="2061">
        <f>'K - Capital Disposals'!D12</f>
        <v>0</v>
      </c>
      <c r="KQ12" s="2077" t="str">
        <f>'K - Capital Disposals'!E12</f>
        <v>Apr 23</v>
      </c>
      <c r="KR12" s="2063">
        <f>'K - Capital Disposals'!F12</f>
        <v>0.01</v>
      </c>
      <c r="KS12" s="2063">
        <f>'K - Capital Disposals'!G12</f>
        <v>0</v>
      </c>
      <c r="KT12" s="2053">
        <f>'K - Capital Disposals'!H12</f>
        <v>0</v>
      </c>
      <c r="KU12" s="2054">
        <f>'K - Capital Disposals'!I12</f>
        <v>-0.01</v>
      </c>
      <c r="KV12" s="3097">
        <f>'K - Capital Disposals'!J12</f>
        <v>0</v>
      </c>
      <c r="KW12" s="3095"/>
      <c r="KX12" s="3095"/>
      <c r="KY12" s="3095"/>
      <c r="KZ12" s="3095"/>
      <c r="LA12" s="3095"/>
      <c r="LB12" s="3096"/>
      <c r="LC12" s="1934"/>
      <c r="LE12" s="1614">
        <f>'L - EFL'!A12</f>
        <v>2</v>
      </c>
      <c r="LF12" s="1613" t="str">
        <f>'L - EFL'!B12</f>
        <v>Depreciation</v>
      </c>
      <c r="LG12" s="1778">
        <f>'L - EFL'!C12</f>
        <v>6223</v>
      </c>
      <c r="LH12" s="1778">
        <f>'L - EFL'!D12</f>
        <v>7042</v>
      </c>
      <c r="LI12" s="1612">
        <f>'L - EFL'!E12</f>
        <v>819</v>
      </c>
      <c r="LJ12" s="1778">
        <f>'L - EFL'!F12</f>
        <v>6142</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034">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49999999999999"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-15046.435825101298</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2227</v>
      </c>
      <c r="BM13" s="1782">
        <f>'B - Monthly Positions'!I13</f>
        <v>2035</v>
      </c>
      <c r="BN13" s="1782">
        <f>'B - Monthly Positions'!J13</f>
        <v>1918</v>
      </c>
      <c r="BO13" s="1782">
        <f>'B - Monthly Positions'!K13</f>
        <v>2623</v>
      </c>
      <c r="BP13" s="1782">
        <f>'B - Monthly Positions'!L13</f>
        <v>2118</v>
      </c>
      <c r="BQ13" s="1782">
        <f>'B - Monthly Positions'!M13</f>
        <v>2071</v>
      </c>
      <c r="BR13" s="1782">
        <f>'B - Monthly Positions'!N13</f>
        <v>2292</v>
      </c>
      <c r="BS13" s="1785">
        <f>'B - Monthly Positions'!O13</f>
        <v>2041</v>
      </c>
      <c r="BT13" s="1781">
        <f>'B - Monthly Positions'!P13</f>
        <v>23591</v>
      </c>
      <c r="BU13" s="1781">
        <f>'B - Monthly Positions'!Q13</f>
        <v>25632</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3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074"/>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1398</v>
      </c>
      <c r="HJ13" s="1770">
        <f>'E1 - Invoiced Income'!R13</f>
        <v>0</v>
      </c>
      <c r="HK13" s="1770">
        <f>'E1 - Invoiced Income'!S13</f>
        <v>0</v>
      </c>
      <c r="HL13" s="1661">
        <f>'E1 - Invoiced Income'!T13</f>
        <v>1398</v>
      </c>
      <c r="HM13" s="1791" t="str">
        <f>'E1 - Invoiced Income'!U13</f>
        <v>Remaining value to be billed for owned assets (£3.550m billed to date).</v>
      </c>
      <c r="HO13" s="2083">
        <f>'F - SoFP'!A13</f>
        <v>5</v>
      </c>
      <c r="HP13" s="2084" t="str">
        <f>'F - SoFP'!B13</f>
        <v xml:space="preserve">Non-Current Assets sub total </v>
      </c>
      <c r="HQ13" s="2036">
        <f>'F - SoFP'!C13</f>
        <v>37978</v>
      </c>
      <c r="HR13" s="2036">
        <f>'F - SoFP'!D13</f>
        <v>32529</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13815.527</v>
      </c>
      <c r="IC13" s="2053">
        <f>'G - Cash Flow'!H13</f>
        <v>20290.435000000001</v>
      </c>
      <c r="ID13" s="2053">
        <f>'G - Cash Flow'!I13</f>
        <v>13994.01</v>
      </c>
      <c r="IE13" s="2053">
        <f>'G - Cash Flow'!J13</f>
        <v>17532.088</v>
      </c>
      <c r="IF13" s="2053">
        <f>'G - Cash Flow'!K13</f>
        <v>24531.22</v>
      </c>
      <c r="IG13" s="2053">
        <f>'G - Cash Flow'!L13</f>
        <v>17867</v>
      </c>
      <c r="IH13" s="2053">
        <f>'G - Cash Flow'!M13</f>
        <v>14415</v>
      </c>
      <c r="II13" s="2053">
        <f>'G - Cash Flow'!N13</f>
        <v>15621</v>
      </c>
      <c r="IJ13" s="2054">
        <f>'G - Cash Flow'!O13</f>
        <v>203437.96317</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35</v>
      </c>
      <c r="JU13" s="2009">
        <f>'J - Capital In Year Schemes'!E13</f>
        <v>35</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0</v>
      </c>
      <c r="KB13" s="2009">
        <f>'J - Capital In Year Schemes'!L13</f>
        <v>0</v>
      </c>
      <c r="KC13" s="2009">
        <f>'J - Capital In Year Schemes'!M13</f>
        <v>9.8096299999999985</v>
      </c>
      <c r="KD13" s="2009">
        <f>'J - Capital In Year Schemes'!N13</f>
        <v>5.976</v>
      </c>
      <c r="KE13" s="2009">
        <f>'J - Capital In Year Schemes'!O13</f>
        <v>0</v>
      </c>
      <c r="KF13" s="2009">
        <f>'J - Capital In Year Schemes'!P13</f>
        <v>0</v>
      </c>
      <c r="KG13" s="2009">
        <f>'J - Capital In Year Schemes'!Q13</f>
        <v>0</v>
      </c>
      <c r="KH13" s="2089">
        <f>'J - Capital In Year Schemes'!R13</f>
        <v>34.427730000000004</v>
      </c>
      <c r="KI13" s="2089">
        <f>'J - Capital In Year Schemes'!S13</f>
        <v>34.427730000000004</v>
      </c>
      <c r="KJ13" s="2090" t="str">
        <f>'J - Capital In Year Schemes'!T13</f>
        <v>Low</v>
      </c>
      <c r="KK13" s="2059">
        <f t="shared" ref="KK13:KK44" si="5">IF(AND(KI13&gt;0,JR13=""),1,0)</f>
        <v>0</v>
      </c>
      <c r="KM13" s="2052">
        <f>'K - Capital Disposals'!A13</f>
        <v>3</v>
      </c>
      <c r="KN13" s="2076" t="str">
        <f>'K - Capital Disposals'!B13</f>
        <v>P000943 - GE Ultrasound machine (repl) BTW Swansea</v>
      </c>
      <c r="KO13" s="2061">
        <f>'K - Capital Disposals'!C13</f>
        <v>0</v>
      </c>
      <c r="KP13" s="2061">
        <f>'K - Capital Disposals'!D13</f>
        <v>0</v>
      </c>
      <c r="KQ13" s="2077" t="str">
        <f>'K - Capital Disposals'!E13</f>
        <v>Nov 23</v>
      </c>
      <c r="KR13" s="2063">
        <f>'K - Capital Disposals'!F13</f>
        <v>2</v>
      </c>
      <c r="KS13" s="2063">
        <f>'K - Capital Disposals'!G13</f>
        <v>0</v>
      </c>
      <c r="KT13" s="2053">
        <f>'K - Capital Disposals'!H13</f>
        <v>0</v>
      </c>
      <c r="KU13" s="2054">
        <f>'K - Capital Disposals'!I13</f>
        <v>-2</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140.84</v>
      </c>
      <c r="LI13" s="1612">
        <f>'L - EFL'!E13</f>
        <v>140.84</v>
      </c>
      <c r="LJ13" s="1778">
        <f>'L - EFL'!F13</f>
        <v>128.84</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035">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27816.083333333343</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19</v>
      </c>
      <c r="BM14" s="1782">
        <f>'B - Monthly Positions'!I14</f>
        <v>19</v>
      </c>
      <c r="BN14" s="1782">
        <f>'B - Monthly Positions'!J14</f>
        <v>19</v>
      </c>
      <c r="BO14" s="1782">
        <f>'B - Monthly Positions'!K14</f>
        <v>11</v>
      </c>
      <c r="BP14" s="1782">
        <f>'B - Monthly Positions'!L14</f>
        <v>27</v>
      </c>
      <c r="BQ14" s="1782">
        <f>'B - Monthly Positions'!M14</f>
        <v>19</v>
      </c>
      <c r="BR14" s="1782">
        <f>'B - Monthly Positions'!N14</f>
        <v>20</v>
      </c>
      <c r="BS14" s="1785">
        <f>'B - Monthly Positions'!O14</f>
        <v>19</v>
      </c>
      <c r="BT14" s="1781">
        <f>'B - Monthly Positions'!P14</f>
        <v>211</v>
      </c>
      <c r="BU14" s="1781">
        <f>'B - Monthly Positions'!Q14</f>
        <v>230</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324</v>
      </c>
      <c r="CV14" s="1776">
        <f>'B2 - Pay &amp; Agency'!H14</f>
        <v>304</v>
      </c>
      <c r="CW14" s="1776">
        <f>'B2 - Pay &amp; Agency'!I14</f>
        <v>306</v>
      </c>
      <c r="CX14" s="1776">
        <f>'B2 - Pay &amp; Agency'!J14</f>
        <v>294</v>
      </c>
      <c r="CY14" s="1776">
        <f>'B2 - Pay &amp; Agency'!K14</f>
        <v>286</v>
      </c>
      <c r="CZ14" s="1776">
        <f>'B2 - Pay &amp; Agency'!L14</f>
        <v>294</v>
      </c>
      <c r="DA14" s="1776">
        <f>'B2 - Pay &amp; Agency'!M14</f>
        <v>308</v>
      </c>
      <c r="DB14" s="1777">
        <f>'B2 - Pay &amp; Agency'!N14</f>
        <v>311.88733000000002</v>
      </c>
      <c r="DC14" s="1323">
        <f>'B2 - Pay &amp; Agency'!O14</f>
        <v>3500</v>
      </c>
      <c r="DD14" s="1324">
        <f>'B2 - Pay &amp; Agency'!P14</f>
        <v>3811.88733</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2.6217800000000002</v>
      </c>
      <c r="DM14" s="1902">
        <f>'B3 - COVID-19'!H14</f>
        <v>2.6217800000000002</v>
      </c>
      <c r="DN14" s="1902">
        <f>'B3 - COVID-19'!I14</f>
        <v>3.7016799999999996</v>
      </c>
      <c r="DO14" s="1902">
        <f>'B3 - COVID-19'!J14</f>
        <v>2.88733</v>
      </c>
      <c r="DP14" s="1902">
        <f>'B3 - COVID-19'!K14</f>
        <v>2.88733</v>
      </c>
      <c r="DQ14" s="1902">
        <f>'B3 - COVID-19'!L14</f>
        <v>2.88733</v>
      </c>
      <c r="DR14" s="1902">
        <f>'B3 - COVID-19'!M14</f>
        <v>2.88733</v>
      </c>
      <c r="DS14" s="1902">
        <f>'B3 - COVID-19'!N14</f>
        <v>2.88733</v>
      </c>
      <c r="DT14" s="1862">
        <f>'B3 - COVID-19'!O14</f>
        <v>32.513019999999997</v>
      </c>
      <c r="DU14" s="1862">
        <f>'B3 - COVID-19'!P14</f>
        <v>35.400349999999996</v>
      </c>
      <c r="DV14" s="608"/>
      <c r="DW14" s="1115"/>
      <c r="DY14" s="2094">
        <f>'C, C1, C2&amp; C3 - Savings Schemes'!A14</f>
        <v>2</v>
      </c>
      <c r="DZ14" s="303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074"/>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2998.5833333333326</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167</v>
      </c>
      <c r="JU14" s="2009">
        <f>'J - Capital In Year Schemes'!E14</f>
        <v>167</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1.27946</v>
      </c>
      <c r="KB14" s="2009">
        <f>'J - Capital In Year Schemes'!L14</f>
        <v>9.5736000000000008</v>
      </c>
      <c r="KC14" s="2009">
        <f>'J - Capital In Year Schemes'!M14</f>
        <v>3.50482</v>
      </c>
      <c r="KD14" s="2009">
        <f>'J - Capital In Year Schemes'!N14</f>
        <v>0</v>
      </c>
      <c r="KE14" s="2009">
        <f>'J - Capital In Year Schemes'!O14</f>
        <v>22.378299999999999</v>
      </c>
      <c r="KF14" s="2009">
        <f>'J - Capital In Year Schemes'!P14</f>
        <v>41.333239999999996</v>
      </c>
      <c r="KG14" s="2009">
        <f>'J - Capital In Year Schemes'!Q14</f>
        <v>89</v>
      </c>
      <c r="KH14" s="2089">
        <f>'J - Capital In Year Schemes'!R14</f>
        <v>78.069420000000008</v>
      </c>
      <c r="KI14" s="2089">
        <f>'J - Capital In Year Schemes'!S14</f>
        <v>167.06942000000001</v>
      </c>
      <c r="KJ14" s="2090" t="str">
        <f>'J - Capital In Year Schemes'!T14</f>
        <v>Low</v>
      </c>
      <c r="KK14" s="2059">
        <f t="shared" si="5"/>
        <v>0</v>
      </c>
      <c r="KM14" s="2052">
        <f>'K - Capital Disposals'!A14</f>
        <v>4</v>
      </c>
      <c r="KN14" s="2076" t="str">
        <f>'K - Capital Disposals'!B14</f>
        <v>P001252 - Video Conference Equipment</v>
      </c>
      <c r="KO14" s="2061">
        <f>'K - Capital Disposals'!C14</f>
        <v>0</v>
      </c>
      <c r="KP14" s="2061">
        <f>'K - Capital Disposals'!D14</f>
        <v>0</v>
      </c>
      <c r="KQ14" s="2077" t="str">
        <f>'K - Capital Disposals'!E14</f>
        <v>Nov 23</v>
      </c>
      <c r="KR14" s="2063">
        <f>'K - Capital Disposals'!F14</f>
        <v>3</v>
      </c>
      <c r="KS14" s="2063">
        <f>'K - Capital Disposals'!G14</f>
        <v>0</v>
      </c>
      <c r="KT14" s="2053">
        <f>'K - Capital Disposals'!H14</f>
        <v>0</v>
      </c>
      <c r="KU14" s="2054">
        <f>'K - Capital Disposals'!I14</f>
        <v>-3</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098" t="str">
        <f>'N - GMS'!A14</f>
        <v/>
      </c>
      <c r="LY14" s="3099"/>
      <c r="LZ14" s="309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033"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49999999999999"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15046.435635101296</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17098</v>
      </c>
      <c r="BM15" s="1782">
        <f>'B - Monthly Positions'!I15</f>
        <v>17332</v>
      </c>
      <c r="BN15" s="1782">
        <f>'B - Monthly Positions'!J15</f>
        <v>18104</v>
      </c>
      <c r="BO15" s="1782">
        <f>'B - Monthly Positions'!K15</f>
        <v>16567</v>
      </c>
      <c r="BP15" s="1782">
        <f>'B - Monthly Positions'!L15</f>
        <v>12701</v>
      </c>
      <c r="BQ15" s="1782">
        <f>'B - Monthly Positions'!M15</f>
        <v>18269</v>
      </c>
      <c r="BR15" s="1782">
        <f>'B - Monthly Positions'!N15</f>
        <v>10111</v>
      </c>
      <c r="BS15" s="1785">
        <f>'B - Monthly Positions'!O15</f>
        <v>23235.661746666665</v>
      </c>
      <c r="BT15" s="1781">
        <f>'B - Monthly Positions'!P15</f>
        <v>176031</v>
      </c>
      <c r="BU15" s="1781">
        <f>'B - Monthly Positions'!Q15</f>
        <v>199266.66174666665</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998</v>
      </c>
      <c r="CV15" s="1776">
        <f>'B2 - Pay &amp; Agency'!H15</f>
        <v>984</v>
      </c>
      <c r="CW15" s="1776">
        <f>'B2 - Pay &amp; Agency'!I15</f>
        <v>985</v>
      </c>
      <c r="CX15" s="1776">
        <f>'B2 - Pay &amp; Agency'!J15</f>
        <v>1006</v>
      </c>
      <c r="CY15" s="1776">
        <f>'B2 - Pay &amp; Agency'!K15</f>
        <v>996</v>
      </c>
      <c r="CZ15" s="1776">
        <f>'B2 - Pay &amp; Agency'!L15</f>
        <v>998</v>
      </c>
      <c r="DA15" s="1776">
        <f>'B2 - Pay &amp; Agency'!M15</f>
        <v>1001</v>
      </c>
      <c r="DB15" s="1777">
        <f>'B2 - Pay &amp; Agency'!N15</f>
        <v>1183</v>
      </c>
      <c r="DC15" s="1323">
        <f>'B2 - Pay &amp; Agency'!O15</f>
        <v>11399</v>
      </c>
      <c r="DD15" s="1324">
        <f>'B2 - Pay &amp; Agency'!P15</f>
        <v>12582</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4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074"/>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2998.5833333333326</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1079</v>
      </c>
      <c r="FX15" s="2068">
        <f>'D - Welsh NHS Assumptions'!D15</f>
        <v>1239</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1910</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2195.1680000000001</v>
      </c>
      <c r="IC15" s="2053">
        <f>'G - Cash Flow'!H15</f>
        <v>2037</v>
      </c>
      <c r="ID15" s="2053">
        <f>'G - Cash Flow'!I15</f>
        <v>3224.2489999999998</v>
      </c>
      <c r="IE15" s="2053">
        <f>'G - Cash Flow'!J15</f>
        <v>2173.0509999999999</v>
      </c>
      <c r="IF15" s="2053">
        <f>'G - Cash Flow'!K15</f>
        <v>1651.56</v>
      </c>
      <c r="IG15" s="2053">
        <f>'G - Cash Flow'!L15</f>
        <v>3758</v>
      </c>
      <c r="IH15" s="2053">
        <f>'G - Cash Flow'!M15</f>
        <v>2150</v>
      </c>
      <c r="II15" s="2053">
        <f>'G - Cash Flow'!N15</f>
        <v>2150</v>
      </c>
      <c r="IJ15" s="2054">
        <f>'G - Cash Flow'!O15</f>
        <v>27715.742340000001</v>
      </c>
      <c r="IK15" s="1941"/>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283</v>
      </c>
      <c r="JU15" s="2009">
        <f>'J - Capital In Year Schemes'!E15</f>
        <v>283</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177.75447</v>
      </c>
      <c r="KC15" s="2009">
        <f>'J - Capital In Year Schemes'!M15</f>
        <v>0</v>
      </c>
      <c r="KD15" s="2009">
        <f>'J - Capital In Year Schemes'!N15</f>
        <v>105.23550999999999</v>
      </c>
      <c r="KE15" s="2009">
        <f>'J - Capital In Year Schemes'!O15</f>
        <v>-1.0000000000000001E-5</v>
      </c>
      <c r="KF15" s="2009">
        <f>'J - Capital In Year Schemes'!P15</f>
        <v>0</v>
      </c>
      <c r="KG15" s="2009">
        <f>'J - Capital In Year Schemes'!Q15</f>
        <v>0</v>
      </c>
      <c r="KH15" s="2089">
        <f>'J - Capital In Year Schemes'!R15</f>
        <v>282.98997000000003</v>
      </c>
      <c r="KI15" s="2089">
        <f>'J - Capital In Year Schemes'!S15</f>
        <v>282.98997000000003</v>
      </c>
      <c r="KJ15" s="2090" t="str">
        <f>'J - Capital In Year Schemes'!T15</f>
        <v>Low</v>
      </c>
      <c r="KK15" s="2059">
        <f t="shared" si="5"/>
        <v>0</v>
      </c>
      <c r="KM15" s="2052">
        <f>'K - Capital Disposals'!A15</f>
        <v>5</v>
      </c>
      <c r="KN15" s="2076" t="str">
        <f>'K - Capital Disposals'!B15</f>
        <v>P001031 - 4ft Biology Safety Cabinet</v>
      </c>
      <c r="KO15" s="2061">
        <f>'K - Capital Disposals'!C15</f>
        <v>0</v>
      </c>
      <c r="KP15" s="2061">
        <f>'K - Capital Disposals'!D15</f>
        <v>0</v>
      </c>
      <c r="KQ15" s="2077" t="str">
        <f>'K - Capital Disposals'!E15</f>
        <v>Apr 23</v>
      </c>
      <c r="KR15" s="2063">
        <f>'K - Capital Disposals'!F15</f>
        <v>3</v>
      </c>
      <c r="KS15" s="2063">
        <f>'K - Capital Disposals'!G15</f>
        <v>0</v>
      </c>
      <c r="KT15" s="2053">
        <f>'K - Capital Disposals'!H15</f>
        <v>0</v>
      </c>
      <c r="KU15" s="2054">
        <f>'K - Capital Disposals'!I15</f>
        <v>-3</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9.01</v>
      </c>
      <c r="LI15" s="1612">
        <f>'L - EFL'!E15</f>
        <v>9.01</v>
      </c>
      <c r="LJ15" s="1778">
        <f>'L - EFL'!F15</f>
        <v>9.01</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034">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49999999999999"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561</v>
      </c>
      <c r="BM16" s="1800">
        <f>'B - Monthly Positions'!I16</f>
        <v>427</v>
      </c>
      <c r="BN16" s="1800">
        <f>'B - Monthly Positions'!J16</f>
        <v>613</v>
      </c>
      <c r="BO16" s="1800">
        <f>'B - Monthly Positions'!K16</f>
        <v>1007</v>
      </c>
      <c r="BP16" s="1800">
        <f>'B - Monthly Positions'!L16</f>
        <v>645</v>
      </c>
      <c r="BQ16" s="1800">
        <f>'B - Monthly Positions'!M16</f>
        <v>560</v>
      </c>
      <c r="BR16" s="1800">
        <f>'B - Monthly Positions'!N16</f>
        <v>528</v>
      </c>
      <c r="BS16" s="2109">
        <f>'B - Monthly Positions'!O16</f>
        <v>513</v>
      </c>
      <c r="BT16" s="1799">
        <f>'B - Monthly Positions'!P16</f>
        <v>6643</v>
      </c>
      <c r="BU16" s="1799">
        <f>'B - Monthly Positions'!Q16</f>
        <v>7156</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1661</v>
      </c>
      <c r="CV16" s="1776">
        <f>'B2 - Pay &amp; Agency'!H16</f>
        <v>1619</v>
      </c>
      <c r="CW16" s="1776">
        <f>'B2 - Pay &amp; Agency'!I16</f>
        <v>1649</v>
      </c>
      <c r="CX16" s="1776">
        <f>'B2 - Pay &amp; Agency'!J16</f>
        <v>1652</v>
      </c>
      <c r="CY16" s="1776">
        <f>'B2 - Pay &amp; Agency'!K16</f>
        <v>1673</v>
      </c>
      <c r="CZ16" s="1776">
        <f>'B2 - Pay &amp; Agency'!L16</f>
        <v>1669</v>
      </c>
      <c r="DA16" s="1776">
        <f>'B2 - Pay &amp; Agency'!M16</f>
        <v>1732</v>
      </c>
      <c r="DB16" s="1777">
        <f>'B2 - Pay &amp; Agency'!N16</f>
        <v>1732.1660166666666</v>
      </c>
      <c r="DC16" s="1323">
        <f>'B2 - Pay &amp; Agency'!O16</f>
        <v>18752</v>
      </c>
      <c r="DD16" s="1324">
        <f>'B2 - Pay &amp; Agency'!P16</f>
        <v>20484.166016666666</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32.072389999999999</v>
      </c>
      <c r="DM16" s="1902">
        <f>'B3 - COVID-19'!H16</f>
        <v>31.130370000000003</v>
      </c>
      <c r="DN16" s="1902">
        <f>'B3 - COVID-19'!I16</f>
        <v>25.609959999999997</v>
      </c>
      <c r="DO16" s="1902">
        <f>'B3 - COVID-19'!J16</f>
        <v>30.137180000000001</v>
      </c>
      <c r="DP16" s="1902">
        <f>'B3 - COVID-19'!K16</f>
        <v>29.404870000000003</v>
      </c>
      <c r="DQ16" s="1902">
        <f>'B3 - COVID-19'!L16</f>
        <v>32.662179999999999</v>
      </c>
      <c r="DR16" s="1902">
        <f>'B3 - COVID-19'!M16</f>
        <v>27.931359999999994</v>
      </c>
      <c r="DS16" s="1902">
        <f>'B3 - COVID-19'!N16</f>
        <v>37.751440000000002</v>
      </c>
      <c r="DT16" s="1862">
        <f>'B3 - COVID-19'!O16</f>
        <v>331.58791999999994</v>
      </c>
      <c r="DU16" s="1862">
        <f>'B3 - COVID-19'!P16</f>
        <v>369.33935999999994</v>
      </c>
      <c r="DV16" s="608"/>
      <c r="DW16" s="1115"/>
      <c r="DY16" s="2110">
        <f>'C, C1, C2&amp; C3 - Savings Schemes'!A16</f>
        <v>4</v>
      </c>
      <c r="DZ16" s="303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075"/>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38804</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t="str">
        <f>'J - Capital In Year Schemes'!B16</f>
        <v>DPIF - RISP Infrastructure</v>
      </c>
      <c r="JS16" s="2088" t="str">
        <f>'J - Capital In Year Schemes'!C16</f>
        <v>Simon Thomas</v>
      </c>
      <c r="JT16" s="2009">
        <f>'J - Capital In Year Schemes'!D16</f>
        <v>447</v>
      </c>
      <c r="JU16" s="2009">
        <f>'J - Capital In Year Schemes'!E16</f>
        <v>447</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31.50732</v>
      </c>
      <c r="KG16" s="2009">
        <f>'J - Capital In Year Schemes'!Q16</f>
        <v>415</v>
      </c>
      <c r="KH16" s="2089">
        <f>'J - Capital In Year Schemes'!R16</f>
        <v>31.50732</v>
      </c>
      <c r="KI16" s="2089">
        <f>'J - Capital In Year Schemes'!S16</f>
        <v>446.50731999999999</v>
      </c>
      <c r="KJ16" s="2090" t="str">
        <f>'J - Capital In Year Schemes'!T16</f>
        <v>Low</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034">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19905</v>
      </c>
      <c r="BM17" s="1109">
        <f>'B - Monthly Positions'!I17</f>
        <v>19813</v>
      </c>
      <c r="BN17" s="1109">
        <f>'B - Monthly Positions'!J17</f>
        <v>20654</v>
      </c>
      <c r="BO17" s="1109">
        <f>'B - Monthly Positions'!K17</f>
        <v>20208</v>
      </c>
      <c r="BP17" s="1109">
        <f>'B - Monthly Positions'!L17</f>
        <v>15491</v>
      </c>
      <c r="BQ17" s="1109">
        <f>'B - Monthly Positions'!M17</f>
        <v>20919</v>
      </c>
      <c r="BR17" s="1109">
        <f>'B - Monthly Positions'!N17</f>
        <v>13201</v>
      </c>
      <c r="BS17" s="1109">
        <f>'B - Monthly Positions'!O17</f>
        <v>25808.661746666665</v>
      </c>
      <c r="BT17" s="1109">
        <f>'B - Monthly Positions'!P17</f>
        <v>206726</v>
      </c>
      <c r="BU17" s="1109">
        <f>'B - Monthly Positions'!Q17</f>
        <v>232534.66174666665</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2</v>
      </c>
      <c r="CW17" s="1776">
        <f>'B2 - Pay &amp; Agency'!I17</f>
        <v>1</v>
      </c>
      <c r="CX17" s="1776">
        <f>'B2 - Pay &amp; Agency'!J17</f>
        <v>1</v>
      </c>
      <c r="CY17" s="1776">
        <f>'B2 - Pay &amp; Agency'!K17</f>
        <v>2</v>
      </c>
      <c r="CZ17" s="1776">
        <f>'B2 - Pay &amp; Agency'!L17</f>
        <v>1</v>
      </c>
      <c r="DA17" s="1776">
        <f>'B2 - Pay &amp; Agency'!M17</f>
        <v>-6</v>
      </c>
      <c r="DB17" s="1777">
        <f>'B2 - Pay &amp; Agency'!N17</f>
        <v>2</v>
      </c>
      <c r="DC17" s="1323">
        <f>'B2 - Pay &amp; Agency'!O17</f>
        <v>15</v>
      </c>
      <c r="DD17" s="1324">
        <f>'B2 - Pay &amp; Agency'!P17</f>
        <v>17</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3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073"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407</v>
      </c>
      <c r="HJ17" s="1797">
        <f>'E1 - Invoiced Income'!R17</f>
        <v>0</v>
      </c>
      <c r="HK17" s="1797">
        <f>'E1 - Invoiced Income'!S17</f>
        <v>0</v>
      </c>
      <c r="HL17" s="1664">
        <f>'E1 - Invoiced Income'!T17</f>
        <v>407</v>
      </c>
      <c r="HM17" s="1798" t="str">
        <f>'E1 - Invoiced Income'!U17</f>
        <v>As confirmed on IFRS 16 return (submitted 11/03/2024). Billed £1.490m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t="str">
        <f>'J - Capital In Year Schemes'!B17</f>
        <v>DPIF - PHW - Cyber (Firewall Replacement)</v>
      </c>
      <c r="JS17" s="2088" t="str">
        <f>'J - Capital In Year Schemes'!C17</f>
        <v>Simon Thomas</v>
      </c>
      <c r="JT17" s="2009">
        <f>'J - Capital In Year Schemes'!D17</f>
        <v>319</v>
      </c>
      <c r="JU17" s="2009">
        <f>'J - Capital In Year Schemes'!E17</f>
        <v>319</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319.20772999999997</v>
      </c>
      <c r="KH17" s="2089">
        <f>'J - Capital In Year Schemes'!R17</f>
        <v>0</v>
      </c>
      <c r="KI17" s="2089">
        <f>'J - Capital In Year Schemes'!S17</f>
        <v>319.20772999999997</v>
      </c>
      <c r="KJ17" s="2090" t="str">
        <f>'J - Capital In Year Schemes'!T17</f>
        <v>Low</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035">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2998.5833333333326</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3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074"/>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0</v>
      </c>
      <c r="HJ18" s="1797">
        <f>'E1 - Invoiced Income'!R18</f>
        <v>0</v>
      </c>
      <c r="HK18" s="1797">
        <f>'E1 - Invoiced Income'!S18</f>
        <v>0</v>
      </c>
      <c r="HL18" s="1664">
        <f>'E1 - Invoiced Income'!T18</f>
        <v>0</v>
      </c>
      <c r="HM18" s="1798">
        <f>'E1 - Invoiced Income'!U18</f>
        <v>0</v>
      </c>
      <c r="HO18" s="2006">
        <f>'F - SoFP'!A18</f>
        <v>9</v>
      </c>
      <c r="HP18" s="2007" t="str">
        <f>'F - SoFP'!B18</f>
        <v>Cash and cash equivalents</v>
      </c>
      <c r="HQ18" s="2008">
        <f>'F - SoFP'!C18</f>
        <v>15569</v>
      </c>
      <c r="HR18" s="2009">
        <f>'F - SoFP'!D18</f>
        <v>21280</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82.58</v>
      </c>
      <c r="IC18" s="2053">
        <f>'G - Cash Flow'!H18</f>
        <v>92.6</v>
      </c>
      <c r="ID18" s="2053">
        <f>'G - Cash Flow'!I18</f>
        <v>84.697999999999993</v>
      </c>
      <c r="IE18" s="2053">
        <f>'G - Cash Flow'!J18</f>
        <v>94.356999999999999</v>
      </c>
      <c r="IF18" s="2053">
        <f>'G - Cash Flow'!K18</f>
        <v>96.876999999999995</v>
      </c>
      <c r="IG18" s="2053">
        <f>'G - Cash Flow'!L18</f>
        <v>135</v>
      </c>
      <c r="IH18" s="2053">
        <f>'G - Cash Flow'!M18</f>
        <v>142</v>
      </c>
      <c r="II18" s="2053">
        <f>'G - Cash Flow'!N18</f>
        <v>142</v>
      </c>
      <c r="IJ18" s="2054">
        <f>'G - Cash Flow'!O18</f>
        <v>1148.241</v>
      </c>
      <c r="IK18" s="1941"/>
      <c r="IM18" s="119">
        <f>'H - PSPP'!A18</f>
        <v>5</v>
      </c>
      <c r="IN18" s="386" t="str">
        <f>'H - PSPP'!B18</f>
        <v>% of NHS Invoices Paid Within 10 Days - By Value</v>
      </c>
      <c r="IO18" s="956"/>
      <c r="IP18" s="1759">
        <f>'H - PSPP'!D18</f>
        <v>0.38490000000000002</v>
      </c>
      <c r="IQ18" s="959"/>
      <c r="IR18" s="1759">
        <f>'H - PSPP'!F18</f>
        <v>0.27360000000000001</v>
      </c>
      <c r="IS18" s="959"/>
      <c r="IT18" s="1759">
        <f>'H - PSPP'!H18</f>
        <v>0.24349999999999999</v>
      </c>
      <c r="IU18" s="959"/>
      <c r="IV18" s="1759">
        <f>'H - PSPP'!J18</f>
        <v>0</v>
      </c>
      <c r="IW18" s="959"/>
      <c r="IX18" s="1759">
        <f>'H - PSPP'!L18</f>
        <v>0.372</v>
      </c>
      <c r="IY18" s="959"/>
      <c r="IZ18" s="1759">
        <f>'H - PSPP'!N18</f>
        <v>0.5</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033"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49999999999999"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11570</v>
      </c>
      <c r="CV19" s="1341">
        <f>'B2 - Pay &amp; Agency'!H19</f>
        <v>11261</v>
      </c>
      <c r="CW19" s="1341">
        <f>'B2 - Pay &amp; Agency'!I19</f>
        <v>11643</v>
      </c>
      <c r="CX19" s="1341">
        <f>'B2 - Pay &amp; Agency'!J19</f>
        <v>11349</v>
      </c>
      <c r="CY19" s="1341">
        <f>'B2 - Pay &amp; Agency'!K19</f>
        <v>11571</v>
      </c>
      <c r="CZ19" s="1341">
        <f>'B2 - Pay &amp; Agency'!L19</f>
        <v>11552</v>
      </c>
      <c r="DA19" s="1341">
        <f>'B2 - Pay &amp; Agency'!M19</f>
        <v>8116</v>
      </c>
      <c r="DB19" s="1342">
        <f>'B2 - Pay &amp; Agency'!N19</f>
        <v>12501.937416666666</v>
      </c>
      <c r="DC19" s="1343">
        <f>'B2 - Pay &amp; Agency'!O19</f>
        <v>123809</v>
      </c>
      <c r="DD19" s="1344">
        <f>'B2 - Pay &amp; Agency'!P19</f>
        <v>136310.93741666665</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73.790779999999998</v>
      </c>
      <c r="DM19" s="1907">
        <f>'B3 - COVID-19'!H19</f>
        <v>86.257750000000016</v>
      </c>
      <c r="DN19" s="1907">
        <f>'B3 - COVID-19'!I19</f>
        <v>48.501129999999996</v>
      </c>
      <c r="DO19" s="1907">
        <f>'B3 - COVID-19'!J19</f>
        <v>51.717300000000002</v>
      </c>
      <c r="DP19" s="1907">
        <f>'B3 - COVID-19'!K19</f>
        <v>49.696150000000003</v>
      </c>
      <c r="DQ19" s="1907">
        <f>'B3 - COVID-19'!L19</f>
        <v>51.573700000000002</v>
      </c>
      <c r="DR19" s="1907">
        <f>'B3 - COVID-19'!M19</f>
        <v>59.845359999999992</v>
      </c>
      <c r="DS19" s="1907">
        <f>'B3 - COVID-19'!N19</f>
        <v>57.632106666666672</v>
      </c>
      <c r="DT19" s="1907">
        <f>'B3 - COVID-19'!O19</f>
        <v>657.02773999999999</v>
      </c>
      <c r="DU19" s="1907">
        <f>'B3 - COVID-19'!P19</f>
        <v>714.65984666666668</v>
      </c>
      <c r="DV19" s="1143"/>
      <c r="DW19" s="1115"/>
      <c r="DY19" s="2078">
        <f>'C, C1, C2&amp; C3 - Savings Schemes'!A19</f>
        <v>7</v>
      </c>
      <c r="DZ19" s="303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074"/>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0</v>
      </c>
      <c r="HJ19" s="1797">
        <f>'E1 - Invoiced Income'!R19</f>
        <v>0</v>
      </c>
      <c r="HK19" s="1797">
        <f>'E1 - Invoiced Income'!S19</f>
        <v>0</v>
      </c>
      <c r="HL19" s="1664">
        <f>'E1 - Invoiced Income'!T19</f>
        <v>0</v>
      </c>
      <c r="HM19" s="1798">
        <f>'E1 - Invoiced Income'!U19</f>
        <v>0</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0.46700000000000003</v>
      </c>
      <c r="IS19" s="959"/>
      <c r="IT19" s="1759">
        <f>'H - PSPP'!H19</f>
        <v>0.30580000000000002</v>
      </c>
      <c r="IU19" s="959"/>
      <c r="IV19" s="1759">
        <f>'H - PSPP'!J19</f>
        <v>0</v>
      </c>
      <c r="IW19" s="959"/>
      <c r="IX19" s="1759">
        <f>'H - PSPP'!L19</f>
        <v>0.33040000000000003</v>
      </c>
      <c r="IY19" s="959"/>
      <c r="IZ19" s="1759">
        <f>'H - PSPP'!N19</f>
        <v>0.5</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t="str">
        <f>'J - Capital In Year Schemes'!T19</f>
        <v>Low</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098" t="str">
        <f>'N - GMS'!A19</f>
        <v/>
      </c>
      <c r="LY19" s="3099"/>
      <c r="LZ19" s="309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034">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49999999999999"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11570</v>
      </c>
      <c r="BM20" s="1782">
        <f>'B - Monthly Positions'!I20</f>
        <v>11261</v>
      </c>
      <c r="BN20" s="1782">
        <f>'B - Monthly Positions'!J20</f>
        <v>11643</v>
      </c>
      <c r="BO20" s="1782">
        <f>'B - Monthly Positions'!K20</f>
        <v>11349</v>
      </c>
      <c r="BP20" s="1782">
        <f>'B - Monthly Positions'!L20</f>
        <v>11571</v>
      </c>
      <c r="BQ20" s="1782">
        <f>'B - Monthly Positions'!M20</f>
        <v>11552</v>
      </c>
      <c r="BR20" s="1782">
        <f>'B - Monthly Positions'!N20</f>
        <v>8116</v>
      </c>
      <c r="BS20" s="1782">
        <f>'B - Monthly Positions'!O20</f>
        <v>12501.937416666666</v>
      </c>
      <c r="BT20" s="1781">
        <f>'B - Monthly Positions'!P20</f>
        <v>123809</v>
      </c>
      <c r="BU20" s="1781">
        <f>'B - Monthly Positions'!Q20</f>
        <v>136310.93741666665</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1359.0833333333335</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3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074"/>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61994</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959.57299999999998</v>
      </c>
      <c r="IC20" s="2053">
        <f>'G - Cash Flow'!H20</f>
        <v>451.62400000000002</v>
      </c>
      <c r="ID20" s="2053">
        <f>'G - Cash Flow'!I20</f>
        <v>-152.67699999999999</v>
      </c>
      <c r="IE20" s="2053">
        <f>'G - Cash Flow'!J20</f>
        <v>587.01599999999996</v>
      </c>
      <c r="IF20" s="2053">
        <f>'G - Cash Flow'!K20</f>
        <v>844.06600000000003</v>
      </c>
      <c r="IG20" s="2053">
        <f>'G - Cash Flow'!L20</f>
        <v>499</v>
      </c>
      <c r="IH20" s="2053">
        <f>'G - Cash Flow'!M20</f>
        <v>442</v>
      </c>
      <c r="II20" s="2053">
        <f>'G - Cash Flow'!N20</f>
        <v>442</v>
      </c>
      <c r="IJ20" s="2054">
        <f>'G - Cash Flow'!O20</f>
        <v>7039.17533</v>
      </c>
      <c r="IK20" s="1941"/>
      <c r="IM20" s="119">
        <f>'H - PSPP'!A20</f>
        <v>7</v>
      </c>
      <c r="IN20" s="386" t="str">
        <f>'H - PSPP'!B20</f>
        <v>% of Non NHS Invoices Paid Within 10 Days - By Value</v>
      </c>
      <c r="IO20" s="956"/>
      <c r="IP20" s="1759">
        <f>'H - PSPP'!D20</f>
        <v>0.72850000000000004</v>
      </c>
      <c r="IQ20" s="959"/>
      <c r="IR20" s="1759">
        <f>'H - PSPP'!F20</f>
        <v>0.77629999999999999</v>
      </c>
      <c r="IS20" s="959"/>
      <c r="IT20" s="1759">
        <f>'H - PSPP'!H20</f>
        <v>0.76139999999999997</v>
      </c>
      <c r="IU20" s="959"/>
      <c r="IV20" s="1759">
        <f>'H - PSPP'!J20</f>
        <v>0</v>
      </c>
      <c r="IW20" s="959"/>
      <c r="IX20" s="1759">
        <f>'H - PSPP'!L20</f>
        <v>0.75380000000000003</v>
      </c>
      <c r="IY20" s="959"/>
      <c r="IZ20" s="1759">
        <f>'H - PSPP'!N20</f>
        <v>0.75</v>
      </c>
      <c r="JA20" s="959"/>
      <c r="JB20" s="1744"/>
      <c r="JD20" s="2087">
        <f>'I - Capital RLM'!A20</f>
        <v>2</v>
      </c>
      <c r="JE20" s="2125" t="str">
        <f>'I - Capital RLM'!B20</f>
        <v xml:space="preserve">Screening Equipment Replacement (BTW Imaging Equip) </v>
      </c>
      <c r="JF20" s="2009">
        <f>'I - Capital RLM'!C20</f>
        <v>34.428080000000001</v>
      </c>
      <c r="JG20" s="2009">
        <f>'I - Capital RLM'!D20</f>
        <v>34.428080000000001</v>
      </c>
      <c r="JH20" s="2117">
        <f>'I - Capital RLM'!E20</f>
        <v>0</v>
      </c>
      <c r="JI20" s="2118">
        <f>'I - Capital RLM'!F20</f>
        <v>0</v>
      </c>
      <c r="JJ20" s="2009">
        <f>'I - Capital RLM'!G20</f>
        <v>35</v>
      </c>
      <c r="JK20" s="2009">
        <f>'I - Capital RLM'!H20</f>
        <v>34.428080000000001</v>
      </c>
      <c r="JL20" s="2117">
        <f>'I - Capital RLM'!I20</f>
        <v>-0.57191999999999865</v>
      </c>
      <c r="JM20" s="2119"/>
      <c r="JN20" s="1889">
        <f>'I - Capital RLM'!K20</f>
        <v>0</v>
      </c>
      <c r="JO20" s="2119">
        <f t="shared" ref="JO20:JO59" si="7">IF(AND(JK20&gt;0,JE20=""),1,0)</f>
        <v>0</v>
      </c>
      <c r="JQ20" s="2087">
        <f>'J - Capital In Year Schemes'!A20</f>
        <v>9</v>
      </c>
      <c r="JR20" s="2088" t="str">
        <f>'J - Capital In Year Schemes'!B20</f>
        <v>NHS Executive - ICT Equipment</v>
      </c>
      <c r="JS20" s="2088" t="str">
        <f>'J - Capital In Year Schemes'!C20</f>
        <v>Karen Evans</v>
      </c>
      <c r="JT20" s="2009">
        <f>'J - Capital In Year Schemes'!D20</f>
        <v>160</v>
      </c>
      <c r="JU20" s="2009">
        <f>'J - Capital In Year Schemes'!E20</f>
        <v>160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0</v>
      </c>
      <c r="KF20" s="2009">
        <f>'J - Capital In Year Schemes'!P20</f>
        <v>101.52</v>
      </c>
      <c r="KG20" s="2009">
        <f>'J - Capital In Year Schemes'!Q20</f>
        <v>58</v>
      </c>
      <c r="KH20" s="2089">
        <f>'J - Capital In Year Schemes'!R20</f>
        <v>101.52</v>
      </c>
      <c r="KI20" s="2089">
        <f>'J - Capital In Year Schemes'!S20</f>
        <v>159.51999999999998</v>
      </c>
      <c r="KJ20" s="2090" t="str">
        <f>'J - Capital In Year Schemes'!T20</f>
        <v>Low</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-2667.9995199999998</v>
      </c>
      <c r="LH20" s="1778">
        <f>'L - EFL'!D20</f>
        <v>-2667.9995199999998</v>
      </c>
      <c r="LI20" s="1612">
        <f>'L - EFL'!E20</f>
        <v>0</v>
      </c>
      <c r="LJ20" s="1778">
        <f>'L - EFL'!F20</f>
        <v>-2063.97748</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034">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49999999999999"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f>'A2 - Risks'!B21</f>
        <v>0</v>
      </c>
      <c r="BB21" s="1787">
        <f>'A2 - Risks'!C21</f>
        <v>0</v>
      </c>
      <c r="BC21" s="1758">
        <f>'A2 - Risks'!D21</f>
        <v>0</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7802.4100000000008</v>
      </c>
      <c r="BM21" s="1781">
        <f>'B - Monthly Positions'!I21</f>
        <v>7866.1100000000006</v>
      </c>
      <c r="BN21" s="1781">
        <f>'B - Monthly Positions'!J21</f>
        <v>8443.11</v>
      </c>
      <c r="BO21" s="1781">
        <f>'B - Monthly Positions'!K21</f>
        <v>8427.7000000000007</v>
      </c>
      <c r="BP21" s="1781">
        <f>'B - Monthly Positions'!L21</f>
        <v>3354.9600000000028</v>
      </c>
      <c r="BQ21" s="1781">
        <f>'B - Monthly Positions'!M21</f>
        <v>8764.7099999999955</v>
      </c>
      <c r="BR21" s="1781">
        <f>'B - Monthly Positions'!N21</f>
        <v>4423.3800000000047</v>
      </c>
      <c r="BS21" s="1781">
        <f>'B - Monthly Positions'!O21</f>
        <v>12499.304329999999</v>
      </c>
      <c r="BT21" s="1781">
        <f>'B - Monthly Positions'!P21</f>
        <v>76532.909</v>
      </c>
      <c r="BU21" s="1781">
        <f>'B - Monthly Positions'!Q21</f>
        <v>89032.213329999999</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1359.0833333333335</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4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074"/>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353</v>
      </c>
      <c r="FX21" s="2068">
        <f>'D - Welsh NHS Assumptions'!D21</f>
        <v>203</v>
      </c>
      <c r="FY21" s="2047">
        <f>'D - Welsh NHS Assumptions'!E21</f>
        <v>556</v>
      </c>
      <c r="FZ21" s="1744"/>
      <c r="GA21" s="2068">
        <f>'D - Welsh NHS Assumptions'!G21</f>
        <v>1321</v>
      </c>
      <c r="GB21" s="2068">
        <f>'D - Welsh NHS Assumptions'!H21</f>
        <v>925</v>
      </c>
      <c r="GC21" s="2047">
        <f>'D - Welsh NHS Assumptions'!I21</f>
        <v>2246</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17052.847999999998</v>
      </c>
      <c r="IC21" s="2129">
        <f>'G - Cash Flow'!H21</f>
        <v>22871.659</v>
      </c>
      <c r="ID21" s="2129">
        <f>'G - Cash Flow'!I21</f>
        <v>17150.28</v>
      </c>
      <c r="IE21" s="2129">
        <f>'G - Cash Flow'!J21</f>
        <v>20386.511999999999</v>
      </c>
      <c r="IF21" s="2129">
        <f>'G - Cash Flow'!K21</f>
        <v>27123.723000000002</v>
      </c>
      <c r="IG21" s="2129">
        <f>'G - Cash Flow'!L21</f>
        <v>22259</v>
      </c>
      <c r="IH21" s="2129">
        <f>'G - Cash Flow'!M21</f>
        <v>17149</v>
      </c>
      <c r="II21" s="2129">
        <f>'G - Cash Flow'!N21</f>
        <v>18355</v>
      </c>
      <c r="IJ21" s="2129">
        <f>'G - Cash Flow'!O21</f>
        <v>239341.12184000001</v>
      </c>
      <c r="IK21" s="1941"/>
      <c r="IM21" s="119">
        <f>'H - PSPP'!A21</f>
        <v>8</v>
      </c>
      <c r="IN21" s="386" t="str">
        <f>'H - PSPP'!B21</f>
        <v>% of Non NHS Invoices Paid Within 10 Days - By Number</v>
      </c>
      <c r="IO21" s="956"/>
      <c r="IP21" s="1759">
        <f>'H - PSPP'!D21</f>
        <v>0.70799999999999996</v>
      </c>
      <c r="IQ21" s="960"/>
      <c r="IR21" s="1759">
        <f>'H - PSPP'!F21</f>
        <v>0.74929999999999997</v>
      </c>
      <c r="IS21" s="960"/>
      <c r="IT21" s="1759">
        <f>'H - PSPP'!H21</f>
        <v>0.71579999999999999</v>
      </c>
      <c r="IU21" s="960"/>
      <c r="IV21" s="1759">
        <f>'H - PSPP'!J21</f>
        <v>0</v>
      </c>
      <c r="IW21" s="960"/>
      <c r="IX21" s="1759">
        <f>'H - PSPP'!L21</f>
        <v>0.72340000000000004</v>
      </c>
      <c r="IY21" s="960"/>
      <c r="IZ21" s="1759">
        <f>'H - PSPP'!N21</f>
        <v>0.75</v>
      </c>
      <c r="JA21" s="960"/>
      <c r="JB21" s="1744"/>
      <c r="JD21" s="2087">
        <f>'I - Capital RLM'!A21</f>
        <v>3</v>
      </c>
      <c r="JE21" s="2125" t="str">
        <f>'I - Capital RLM'!B21</f>
        <v>(EFAB) - Fire Compliance Works</v>
      </c>
      <c r="JF21" s="2009">
        <f>'I - Capital RLM'!C21</f>
        <v>78.069419999999994</v>
      </c>
      <c r="JG21" s="2009">
        <f>'I - Capital RLM'!D21</f>
        <v>78.069419999999994</v>
      </c>
      <c r="JH21" s="2117">
        <f>'I - Capital RLM'!E21</f>
        <v>0</v>
      </c>
      <c r="JI21" s="2118">
        <f>'I - Capital RLM'!F21</f>
        <v>0</v>
      </c>
      <c r="JJ21" s="2009">
        <f>'I - Capital RLM'!G21</f>
        <v>164</v>
      </c>
      <c r="JK21" s="2009">
        <f>'I - Capital RLM'!H21</f>
        <v>166.792</v>
      </c>
      <c r="JL21" s="2117">
        <f>'I - Capital RLM'!I21</f>
        <v>2.7920000000000016</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100">
        <f>'K - Capital Disposals'!J21</f>
        <v>0</v>
      </c>
      <c r="KW21" s="3095"/>
      <c r="KX21" s="3095"/>
      <c r="KY21" s="3095"/>
      <c r="KZ21" s="3095"/>
      <c r="LA21" s="3095"/>
      <c r="LB21" s="3096"/>
      <c r="LC21" s="1934"/>
      <c r="LE21" s="1614">
        <f>'L - EFL'!A21</f>
        <v>11</v>
      </c>
      <c r="LF21" s="1613" t="str">
        <f>'L - EFL'!B21</f>
        <v>Other Expenditure/ IFRS 16 Lease Payments Exc. Interest &amp; VAT (ROU)  </v>
      </c>
      <c r="LG21" s="1778">
        <f>'L - EFL'!C21</f>
        <v>-1445</v>
      </c>
      <c r="LH21" s="1778">
        <f>'L - EFL'!D21</f>
        <v>-1766</v>
      </c>
      <c r="LI21" s="1612">
        <f>'L - EFL'!E21</f>
        <v>-321</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01" t="str">
        <f>'O - Dental'!A21</f>
        <v xml:space="preserve">TOTAL DENTAL SERVICES EXPENDITURE </v>
      </c>
      <c r="MI21" s="3102"/>
      <c r="MJ21" s="705">
        <f>'O - Dental'!C21</f>
        <v>13</v>
      </c>
      <c r="MK21" s="1808">
        <f>'O - Dental'!D21</f>
        <v>0</v>
      </c>
      <c r="ML21" s="666">
        <f>'O - Dental'!E21</f>
        <v>0</v>
      </c>
      <c r="MM21" s="666">
        <f>'O - Dental'!F21</f>
        <v>0</v>
      </c>
      <c r="MN21" s="667">
        <f>'O - Dental'!G21</f>
        <v>0</v>
      </c>
      <c r="MO21" s="308"/>
      <c r="MP21" s="667">
        <f>'O - Dental'!I21</f>
        <v>0</v>
      </c>
      <c r="MR21" s="683"/>
      <c r="MS21" s="3035">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3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1639.5</v>
      </c>
      <c r="EO22" s="937">
        <f>'C, C1, C2&amp; C3 - Savings Schemes'!Q22</f>
        <v>1758</v>
      </c>
      <c r="EP22" s="2079"/>
      <c r="EQ22" s="2080"/>
      <c r="ER22" s="2080"/>
      <c r="ES22" s="2080"/>
      <c r="ET22" s="2080"/>
      <c r="EU22" s="608"/>
      <c r="EV22" s="594"/>
      <c r="EW22" s="1931"/>
      <c r="EX22" s="3074"/>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2245.6109999999999</v>
      </c>
      <c r="HJ22" s="1797">
        <f>'E1 - Invoiced Income'!R22</f>
        <v>0</v>
      </c>
      <c r="HK22" s="1797">
        <f>'E1 - Invoiced Income'!S22</f>
        <v>0</v>
      </c>
      <c r="HL22" s="1664">
        <f>'E1 - Invoiced Income'!T22</f>
        <v>2245.6109999999999</v>
      </c>
      <c r="HM22" s="2595" t="str">
        <f>'E1 - Invoiced Income'!U22</f>
        <v>See below analysis</v>
      </c>
      <c r="HO22" s="2083">
        <f>'F - SoFP'!A22</f>
        <v>12</v>
      </c>
      <c r="HP22" s="2130" t="str">
        <f>'F - SoFP'!B22</f>
        <v>TOTAL ASSETS</v>
      </c>
      <c r="HQ22" s="2036">
        <f>'F - SoFP'!C22</f>
        <v>76561</v>
      </c>
      <c r="HR22" s="2025">
        <f>'F - SoFP'!D22</f>
        <v>94523</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282.98998999999998</v>
      </c>
      <c r="JG22" s="2009">
        <f>'I - Capital RLM'!D22</f>
        <v>282.98998999999998</v>
      </c>
      <c r="JH22" s="2117">
        <f>'I - Capital RLM'!E22</f>
        <v>0</v>
      </c>
      <c r="JI22" s="2118">
        <f>'I - Capital RLM'!F22</f>
        <v>0</v>
      </c>
      <c r="JJ22" s="2009">
        <f>'I - Capital RLM'!G22</f>
        <v>283</v>
      </c>
      <c r="JK22" s="2009">
        <f>'I - Capital RLM'!H22</f>
        <v>283.35652000000005</v>
      </c>
      <c r="JL22" s="2117">
        <f>'I - Capital RLM'!I22</f>
        <v>0.35652000000004591</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100">
        <f>'K - Capital Disposals'!J22</f>
        <v>0</v>
      </c>
      <c r="KW22" s="3095"/>
      <c r="KX22" s="3095"/>
      <c r="KY22" s="3095"/>
      <c r="KZ22" s="3095"/>
      <c r="LA22" s="3095"/>
      <c r="LB22" s="3096"/>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033"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49999999999999"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832.78728000000012</v>
      </c>
      <c r="DM23" s="1329">
        <f>'B3 - COVID-19'!H23</f>
        <v>668.40530000000012</v>
      </c>
      <c r="DN23" s="1329">
        <f>'B3 - COVID-19'!I23</f>
        <v>996.61832000000015</v>
      </c>
      <c r="DO23" s="1329">
        <f>'B3 - COVID-19'!J23</f>
        <v>650.01325999999995</v>
      </c>
      <c r="DP23" s="1329">
        <f>'B3 - COVID-19'!K23</f>
        <v>846.13830999999993</v>
      </c>
      <c r="DQ23" s="1329">
        <f>'B3 - COVID-19'!L23</f>
        <v>848.50055999999995</v>
      </c>
      <c r="DR23" s="1329">
        <f>'B3 - COVID-19'!M23</f>
        <v>774.53838999999982</v>
      </c>
      <c r="DS23" s="1329">
        <f>'B3 - COVID-19'!N23</f>
        <v>1040.11833</v>
      </c>
      <c r="DT23" s="1862">
        <f>'B3 - COVID-19'!O23</f>
        <v>8725.5213600000006</v>
      </c>
      <c r="DU23" s="1862">
        <f>'B3 - COVID-19'!P23</f>
        <v>9765.63969</v>
      </c>
      <c r="DV23" s="608"/>
      <c r="DW23" s="1115"/>
      <c r="DY23" s="2094">
        <f>'C, C1, C2&amp; C3 - Savings Schemes'!A23</f>
        <v>11</v>
      </c>
      <c r="DZ23" s="303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1639.5</v>
      </c>
      <c r="EO23" s="939">
        <f>'C, C1, C2&amp; C3 - Savings Schemes'!Q23</f>
        <v>1758</v>
      </c>
      <c r="EP23" s="1166">
        <f>'C, C1, C2&amp; C3 - Savings Schemes'!R23</f>
        <v>0.93259385665529015</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074"/>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0</v>
      </c>
      <c r="GC23" s="2047">
        <f>'D - Welsh NHS Assumptions'!I23</f>
        <v>0</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-1766</v>
      </c>
      <c r="HJ23" s="1797">
        <f>'E1 - Invoiced Income'!R23</f>
        <v>0</v>
      </c>
      <c r="HK23" s="1797">
        <f>'E1 - Invoiced Income'!S23</f>
        <v>0</v>
      </c>
      <c r="HL23" s="1664">
        <f>'E1 - Invoiced Income'!T23</f>
        <v>-1766</v>
      </c>
      <c r="HM23" s="1798" t="str">
        <f>'E1 - Invoiced Income'!U23</f>
        <v>Forecast return of revenue for IFRS 16 adjustment (per IFRS 16 submission 11/03/2024)</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t="str">
        <f>'I - Capital RLM'!B23</f>
        <v>DPIF - RISP Infrastructure</v>
      </c>
      <c r="JF23" s="2009">
        <f>'I - Capital RLM'!C23</f>
        <v>31.50732</v>
      </c>
      <c r="JG23" s="2009">
        <f>'I - Capital RLM'!D23</f>
        <v>31.50732</v>
      </c>
      <c r="JH23" s="2117">
        <f>'I - Capital RLM'!E23</f>
        <v>0</v>
      </c>
      <c r="JI23" s="2118">
        <f>'I - Capital RLM'!F23</f>
        <v>0</v>
      </c>
      <c r="JJ23" s="2009">
        <f>'I - Capital RLM'!G23</f>
        <v>450</v>
      </c>
      <c r="JK23" s="2009">
        <f>'I - Capital RLM'!H23</f>
        <v>446.41295000000002</v>
      </c>
      <c r="JL23" s="2117">
        <f>'I - Capital RLM'!I23</f>
        <v>-3.5870499999999765</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100">
        <f>'K - Capital Disposals'!J23</f>
        <v>0</v>
      </c>
      <c r="KW23" s="3095"/>
      <c r="KX23" s="3095"/>
      <c r="KY23" s="3095"/>
      <c r="KZ23" s="3095"/>
      <c r="LA23" s="3095"/>
      <c r="LB23" s="3096"/>
      <c r="LC23" s="1934"/>
      <c r="LE23" s="1623">
        <f>'L - EFL'!A23</f>
        <v>12</v>
      </c>
      <c r="LF23" s="1613" t="str">
        <f>'L - EFL'!B23</f>
        <v>Inventories</v>
      </c>
      <c r="LG23" s="1810">
        <f>'L - EFL'!C23</f>
        <v>0</v>
      </c>
      <c r="LH23" s="1810">
        <f>'L - EFL'!D23</f>
        <v>0</v>
      </c>
      <c r="LI23" s="1612">
        <f>'L - EFL'!E23</f>
        <v>0</v>
      </c>
      <c r="LJ23" s="1810">
        <f>'L - EFL'!F23</f>
        <v>254</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034">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49999999999999"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-1.8999998928848072E-4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11570</v>
      </c>
      <c r="CV24" s="1569">
        <f>'B2 - Pay &amp; Agency'!H24</f>
        <v>11261</v>
      </c>
      <c r="CW24" s="1569">
        <f>'B2 - Pay &amp; Agency'!I24</f>
        <v>11643</v>
      </c>
      <c r="CX24" s="1569">
        <f>'B2 - Pay &amp; Agency'!J24</f>
        <v>11349</v>
      </c>
      <c r="CY24" s="1569">
        <f>'B2 - Pay &amp; Agency'!K24</f>
        <v>11571</v>
      </c>
      <c r="CZ24" s="1569">
        <f>'B2 - Pay &amp; Agency'!L24</f>
        <v>11552</v>
      </c>
      <c r="DA24" s="1569">
        <f>'B2 - Pay &amp; Agency'!M24</f>
        <v>8116</v>
      </c>
      <c r="DB24" s="1569">
        <f>'B2 - Pay &amp; Agency'!N24</f>
        <v>12501.937416666666</v>
      </c>
      <c r="DC24" s="1131">
        <f>'B2 - Pay &amp; Agency'!O24</f>
        <v>123809</v>
      </c>
      <c r="DD24" s="1322">
        <f>'B2 - Pay &amp; Agency'!P24</f>
        <v>136310.93741666665</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-0.6</v>
      </c>
      <c r="DM24" s="1329">
        <f>'B3 - COVID-19'!H24</f>
        <v>-1.425</v>
      </c>
      <c r="DN24" s="1329">
        <f>'B3 - COVID-19'!I24</f>
        <v>0</v>
      </c>
      <c r="DO24" s="1329">
        <f>'B3 - COVID-19'!J24</f>
        <v>0.34499999999999997</v>
      </c>
      <c r="DP24" s="1329">
        <f>'B3 - COVID-19'!K24</f>
        <v>-5.28</v>
      </c>
      <c r="DQ24" s="1329">
        <f>'B3 - COVID-19'!L24</f>
        <v>0</v>
      </c>
      <c r="DR24" s="1329">
        <f>'B3 - COVID-19'!M24</f>
        <v>0</v>
      </c>
      <c r="DS24" s="1329">
        <f>'B3 - COVID-19'!N24</f>
        <v>32.5</v>
      </c>
      <c r="DT24" s="1862">
        <f>'B3 - COVID-19'!O24</f>
        <v>22.939999999999998</v>
      </c>
      <c r="DU24" s="1862">
        <f>'B3 - COVID-19'!P24</f>
        <v>55.44</v>
      </c>
      <c r="DV24" s="608"/>
      <c r="DW24" s="1115"/>
      <c r="DY24" s="2094">
        <f>'C, C1, C2&amp; C3 - Savings Schemes'!A24</f>
        <v>12</v>
      </c>
      <c r="DZ24" s="304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074"/>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t="str">
        <f>'I - Capital RLM'!B24</f>
        <v>DPIF - PHW - Cyber (Firewall Replacement)</v>
      </c>
      <c r="JF24" s="2009">
        <f>'I - Capital RLM'!C24</f>
        <v>0</v>
      </c>
      <c r="JG24" s="2009">
        <f>'I - Capital RLM'!D24</f>
        <v>0</v>
      </c>
      <c r="JH24" s="2117">
        <f>'I - Capital RLM'!E24</f>
        <v>0</v>
      </c>
      <c r="JI24" s="2118">
        <f>'I - Capital RLM'!F24</f>
        <v>0</v>
      </c>
      <c r="JJ24" s="2009">
        <f>'I - Capital RLM'!G24</f>
        <v>319</v>
      </c>
      <c r="JK24" s="2009">
        <f>'I - Capital RLM'!H24</f>
        <v>319.20772999999997</v>
      </c>
      <c r="JL24" s="2117">
        <f>'I - Capital RLM'!I24</f>
        <v>0.20772999999996955</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100">
        <f>'K - Capital Disposals'!J24</f>
        <v>0</v>
      </c>
      <c r="KW24" s="3095"/>
      <c r="KX24" s="3095"/>
      <c r="KY24" s="3095"/>
      <c r="KZ24" s="3095"/>
      <c r="LA24" s="3095"/>
      <c r="LB24" s="3096"/>
      <c r="LC24" s="1934"/>
      <c r="LE24" s="1623">
        <f>'L - EFL'!A24</f>
        <v>13</v>
      </c>
      <c r="LF24" s="1613" t="str">
        <f>'L - EFL'!B24</f>
        <v>Current assets - Trade and other receivables</v>
      </c>
      <c r="LG24" s="1810">
        <f>'L - EFL'!C24</f>
        <v>0</v>
      </c>
      <c r="LH24" s="1810">
        <f>'L - EFL'!D24</f>
        <v>0</v>
      </c>
      <c r="LI24" s="1612">
        <f>'L - EFL'!E24</f>
        <v>0</v>
      </c>
      <c r="LJ24" s="1810">
        <f>'L - EFL'!F24</f>
        <v>-17954</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098" t="str">
        <f>'N - GMS'!A24</f>
        <v/>
      </c>
      <c r="LY24" s="3099"/>
      <c r="LZ24" s="309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034">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49999999999999"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47.095999999999997</v>
      </c>
      <c r="DO25" s="1329">
        <f>'B3 - COVID-19'!J25</f>
        <v>40.130000000000003</v>
      </c>
      <c r="DP25" s="1329">
        <f>'B3 - COVID-19'!K25</f>
        <v>-40.130000000000003</v>
      </c>
      <c r="DQ25" s="1329">
        <f>'B3 - COVID-19'!L25</f>
        <v>33.997</v>
      </c>
      <c r="DR25" s="1329">
        <f>'B3 - COVID-19'!M25</f>
        <v>0</v>
      </c>
      <c r="DS25" s="1329">
        <f>'B3 - COVID-19'!N25</f>
        <v>27.030999999999999</v>
      </c>
      <c r="DT25" s="1862">
        <f>'B3 - COVID-19'!O25</f>
        <v>81.092999999999989</v>
      </c>
      <c r="DU25" s="1862">
        <f>'B3 - COVID-19'!P25</f>
        <v>108.124</v>
      </c>
      <c r="DV25" s="608"/>
      <c r="DW25" s="1115"/>
      <c r="DY25" s="2078">
        <f>'C, C1, C2&amp; C3 - Savings Schemes'!A25</f>
        <v>13</v>
      </c>
      <c r="DZ25" s="303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1359.0833333333335</v>
      </c>
      <c r="EO25" s="937">
        <f>'C, C1, C2&amp; C3 - Savings Schemes'!Q25</f>
        <v>1416.0000000000002</v>
      </c>
      <c r="EP25" s="2079"/>
      <c r="EQ25" s="2080"/>
      <c r="ER25" s="2080"/>
      <c r="ES25" s="2080"/>
      <c r="ET25" s="2080"/>
      <c r="EU25" s="608"/>
      <c r="EV25" s="594"/>
      <c r="EW25" s="1931"/>
      <c r="EX25" s="3075"/>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2048</v>
      </c>
      <c r="FX25" s="2068">
        <f>'D - Welsh NHS Assumptions'!D25</f>
        <v>0</v>
      </c>
      <c r="FY25" s="2047">
        <f>'D - Welsh NHS Assumptions'!E25</f>
        <v>2048</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2022-23 1.5% Consolidated pay award (actuals to date plus forecast for remainder of year)</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1533</v>
      </c>
      <c r="HJ25" s="1797">
        <f>'E1 - Invoiced Income'!R25</f>
        <v>0</v>
      </c>
      <c r="HK25" s="1797">
        <f>'E1 - Invoiced Income'!S25</f>
        <v>0</v>
      </c>
      <c r="HL25" s="1664">
        <f>'E1 - Invoiced Income'!T25</f>
        <v>1533</v>
      </c>
      <c r="HM25" s="1798" t="str">
        <f>'E1 - Invoiced Income'!U25</f>
        <v xml:space="preserve">Per WG Pay Circular confirmed in 2022-23 </v>
      </c>
      <c r="HO25" s="2006">
        <f>'F - SoFP'!A25</f>
        <v>13</v>
      </c>
      <c r="HP25" s="2007" t="str">
        <f>'F - SoFP'!B25</f>
        <v>Trade and other payables</v>
      </c>
      <c r="HQ25" s="2008">
        <f>'F - SoFP'!C25</f>
        <v>30783</v>
      </c>
      <c r="HR25" s="2009">
        <f>'F - SoFP'!D25</f>
        <v>46270</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100">
        <f>'K - Capital Disposals'!J25</f>
        <v>0</v>
      </c>
      <c r="KW25" s="3095"/>
      <c r="KX25" s="3095"/>
      <c r="KY25" s="3095"/>
      <c r="KZ25" s="3095"/>
      <c r="LA25" s="3095"/>
      <c r="LB25" s="3096"/>
      <c r="LC25" s="1934"/>
      <c r="LE25" s="1623">
        <f>'L - EFL'!A25</f>
        <v>14</v>
      </c>
      <c r="LF25" s="1613" t="str">
        <f>'L - EFL'!B25</f>
        <v>Current liabilities - Trade and other payables</v>
      </c>
      <c r="LG25" s="1810">
        <f>'L - EFL'!C25</f>
        <v>0</v>
      </c>
      <c r="LH25" s="1810">
        <f>'L - EFL'!D25</f>
        <v>0</v>
      </c>
      <c r="LI25" s="1612">
        <f>'L - EFL'!E25</f>
        <v>0</v>
      </c>
      <c r="LJ25" s="1810">
        <f>'L - EFL'!F25</f>
        <v>15487</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035">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49999999999999"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11570</v>
      </c>
      <c r="CV26" s="1345">
        <f>'B2 - Pay &amp; Agency'!H26</f>
        <v>11261</v>
      </c>
      <c r="CW26" s="1345">
        <f>'B2 - Pay &amp; Agency'!I26</f>
        <v>11643</v>
      </c>
      <c r="CX26" s="1345">
        <f>'B2 - Pay &amp; Agency'!J26</f>
        <v>11349</v>
      </c>
      <c r="CY26" s="1345">
        <f>'B2 - Pay &amp; Agency'!K26</f>
        <v>11571</v>
      </c>
      <c r="CZ26" s="1345">
        <f>'B2 - Pay &amp; Agency'!L26</f>
        <v>11552</v>
      </c>
      <c r="DA26" s="1345">
        <f>'B2 - Pay &amp; Agency'!M26</f>
        <v>8116</v>
      </c>
      <c r="DB26" s="1344">
        <f>'B2 - Pay &amp; Agency'!N26</f>
        <v>12501.937416666666</v>
      </c>
      <c r="DC26" s="1343">
        <f>'B2 - Pay &amp; Agency'!O26</f>
        <v>123809</v>
      </c>
      <c r="DD26" s="1344">
        <f>'B2 - Pay &amp; Agency'!P26</f>
        <v>136310.93741666665</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3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1359.0833333333335</v>
      </c>
      <c r="EO26" s="939">
        <f>'C, C1, C2&amp; C3 - Savings Schemes'!Q26</f>
        <v>1416.0000000000002</v>
      </c>
      <c r="EP26" s="1166">
        <f>'C, C1, C2&amp; C3 - Savings Schemes'!R26</f>
        <v>0.95980461393596983</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073"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(actuals to date plus forecast for remainder of year)</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4937</v>
      </c>
      <c r="HJ26" s="1797">
        <f>'E1 - Invoiced Income'!R26</f>
        <v>0</v>
      </c>
      <c r="HK26" s="1797">
        <f>'E1 - Invoiced Income'!S26</f>
        <v>0</v>
      </c>
      <c r="HL26" s="1664">
        <f>'E1 - Invoiced Income'!T26</f>
        <v>4937</v>
      </c>
      <c r="HM26" s="1798" t="str">
        <f>'E1 - Invoiced Income'!U26</f>
        <v>WG Pay Circular: Pay Letter AfC(W) 04/2023</v>
      </c>
      <c r="HO26" s="2006">
        <f>'F - SoFP'!A26</f>
        <v>14</v>
      </c>
      <c r="HP26" s="2007" t="str">
        <f>'F - SoFP'!B26</f>
        <v>Borrowings (Trust Only)</v>
      </c>
      <c r="HQ26" s="2008">
        <f>'F - SoFP'!C26</f>
        <v>2200</v>
      </c>
      <c r="HR26" s="2009">
        <f>'F - SoFP'!D26</f>
        <v>2586</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100">
        <f>'K - Capital Disposals'!J26</f>
        <v>0</v>
      </c>
      <c r="KW26" s="3095"/>
      <c r="KX26" s="3095"/>
      <c r="KY26" s="3095"/>
      <c r="KZ26" s="3095"/>
      <c r="LA26" s="3095"/>
      <c r="LB26" s="3096"/>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49999999999999"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068"/>
      <c r="BY27" s="3068"/>
      <c r="BZ27" s="3068"/>
      <c r="CA27" s="3068"/>
      <c r="CB27" s="3068"/>
      <c r="CC27" s="3068"/>
      <c r="CD27" s="3068"/>
      <c r="CE27" s="3068"/>
      <c r="CF27" s="3068"/>
      <c r="CG27" s="3068"/>
      <c r="CH27" s="3068"/>
      <c r="CI27" s="3068"/>
      <c r="CJ27" s="3068"/>
      <c r="CK27" s="3068"/>
      <c r="CL27" s="3068"/>
      <c r="CM27" s="3068"/>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4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074"/>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20326</v>
      </c>
      <c r="FX27" s="2047">
        <f>'D - Welsh NHS Assumptions'!D27</f>
        <v>8598</v>
      </c>
      <c r="FY27" s="2047">
        <f>'D - Welsh NHS Assumptions'!E27</f>
        <v>28924</v>
      </c>
      <c r="FZ27" s="1744"/>
      <c r="GA27" s="2047">
        <f>'D - Welsh NHS Assumptions'!G27</f>
        <v>16911</v>
      </c>
      <c r="GB27" s="2047">
        <f>'D - Welsh NHS Assumptions'!H27</f>
        <v>23097</v>
      </c>
      <c r="GC27" s="2047">
        <f>'D - Welsh NHS Assumptions'!I27</f>
        <v>40008</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2023-24 M&amp;D 5% pay award (actuals to date plus forecast for remainder of year)</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438</v>
      </c>
      <c r="HJ27" s="1797">
        <f>'E1 - Invoiced Income'!R27</f>
        <v>0</v>
      </c>
      <c r="HK27" s="1797">
        <f>'E1 - Invoiced Income'!S27</f>
        <v>0</v>
      </c>
      <c r="HL27" s="1664">
        <f>'E1 - Invoiced Income'!T27</f>
        <v>438</v>
      </c>
      <c r="HM27" s="1798" t="str">
        <f>'E1 - Invoiced Income'!U27</f>
        <v>M&amp;D(W) 06/2023 Pay Circular</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100">
        <f>'K - Capital Disposals'!J27</f>
        <v>0</v>
      </c>
      <c r="KW27" s="3095"/>
      <c r="KX27" s="3095"/>
      <c r="KY27" s="3095"/>
      <c r="KZ27" s="3095"/>
      <c r="LA27" s="3095"/>
      <c r="LB27" s="3096"/>
      <c r="LC27" s="1934"/>
      <c r="LE27" s="1623">
        <f>'L - EFL'!A27</f>
        <v>16</v>
      </c>
      <c r="LF27" s="1622" t="str">
        <f>'L - EFL'!B27</f>
        <v>Provisions</v>
      </c>
      <c r="LG27" s="1810">
        <f>'L - EFL'!C27</f>
        <v>0</v>
      </c>
      <c r="LH27" s="1810">
        <f>'L - EFL'!D27</f>
        <v>0</v>
      </c>
      <c r="LI27" s="1612">
        <f>'L - EFL'!E27</f>
        <v>0</v>
      </c>
      <c r="LJ27" s="1810">
        <f>'L - EFL'!F27</f>
        <v>321</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49999999999999"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-1359.0833333333335</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3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074"/>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f>'E1 - Invoiced Income'!B28</f>
        <v>0</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0</v>
      </c>
      <c r="HJ28" s="1797">
        <f>'E1 - Invoiced Income'!R28</f>
        <v>0</v>
      </c>
      <c r="HK28" s="1797">
        <f>'E1 - Invoiced Income'!S28</f>
        <v>0</v>
      </c>
      <c r="HL28" s="1664">
        <f>'E1 - Invoiced Income'!T28</f>
        <v>0</v>
      </c>
      <c r="HM28" s="1798">
        <f>'E1 - Invoiced Income'!U28</f>
        <v>0</v>
      </c>
      <c r="HO28" s="2006">
        <f>'F - SoFP'!A28</f>
        <v>16</v>
      </c>
      <c r="HP28" s="2007" t="str">
        <f>'F - SoFP'!B28</f>
        <v>Provisions</v>
      </c>
      <c r="HQ28" s="2008">
        <f>'F - SoFP'!C28</f>
        <v>2399</v>
      </c>
      <c r="HR28" s="2009">
        <f>'F - SoFP'!D28</f>
        <v>6011</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11292.868</v>
      </c>
      <c r="IC28" s="2063">
        <f>'G - Cash Flow'!H28</f>
        <v>10599.566999999999</v>
      </c>
      <c r="ID28" s="2063">
        <f>'G - Cash Flow'!I28</f>
        <v>11810.096</v>
      </c>
      <c r="IE28" s="2063">
        <f>'G - Cash Flow'!J28</f>
        <v>10903.411</v>
      </c>
      <c r="IF28" s="2063">
        <f>'G - Cash Flow'!K28</f>
        <v>10935.165000000001</v>
      </c>
      <c r="IG28" s="2063">
        <f>'G - Cash Flow'!L28</f>
        <v>11612</v>
      </c>
      <c r="IH28" s="2063">
        <f>'G - Cash Flow'!M28</f>
        <v>11423</v>
      </c>
      <c r="II28" s="2063">
        <f>'G - Cash Flow'!N28</f>
        <v>11423</v>
      </c>
      <c r="IJ28" s="2149">
        <f>'G - Cash Flow'!O28</f>
        <v>136004.49350000001</v>
      </c>
      <c r="IK28" s="1941"/>
      <c r="JD28" s="2087">
        <f>'I - Capital RLM'!A28</f>
        <v>10</v>
      </c>
      <c r="JE28" s="2125" t="str">
        <f>'I - Capital RLM'!B28</f>
        <v>NHS Executive - ICT Equipment</v>
      </c>
      <c r="JF28" s="2009">
        <f>'I - Capital RLM'!C28</f>
        <v>101.52</v>
      </c>
      <c r="JG28" s="2009">
        <f>'I - Capital RLM'!D28</f>
        <v>101.52</v>
      </c>
      <c r="JH28" s="2117">
        <f>'I - Capital RLM'!E28</f>
        <v>0</v>
      </c>
      <c r="JI28" s="2118">
        <f>'I - Capital RLM'!F28</f>
        <v>0</v>
      </c>
      <c r="JJ28" s="2009">
        <f>'I - Capital RLM'!G28</f>
        <v>160</v>
      </c>
      <c r="JK28" s="2009">
        <f>'I - Capital RLM'!H28</f>
        <v>160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100">
        <f>'K - Capital Disposals'!J28</f>
        <v>0</v>
      </c>
      <c r="KW28" s="3095"/>
      <c r="KX28" s="3095"/>
      <c r="KY28" s="3095"/>
      <c r="KZ28" s="3095"/>
      <c r="LA28" s="3095"/>
      <c r="LB28" s="3096"/>
      <c r="LC28" s="1934"/>
      <c r="LE28" s="2168">
        <f>'L - EFL'!A28</f>
        <v>17</v>
      </c>
      <c r="LF28" s="2169" t="str">
        <f>'L - EFL'!B28</f>
        <v>Sub total - movement in working capital</v>
      </c>
      <c r="LG28" s="2170">
        <f>'L - EFL'!C28</f>
        <v>0</v>
      </c>
      <c r="LH28" s="2170">
        <f>'L - EFL'!D28</f>
        <v>0</v>
      </c>
      <c r="LI28" s="2171">
        <f>'L - EFL'!E28</f>
        <v>0</v>
      </c>
      <c r="LJ28" s="2170">
        <f>'L - EFL'!F28</f>
        <v>-1892</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6" t="str">
        <f>'P - Ringfenced'!R28</f>
        <v>Total</v>
      </c>
      <c r="NJ28" s="2667" t="str">
        <f>'P - Ringfenced'!S28</f>
        <v>Total</v>
      </c>
      <c r="NK28" s="2667" t="str">
        <f>'P - Ringfenced'!T28</f>
        <v xml:space="preserve">Total </v>
      </c>
      <c r="NL28" s="683"/>
    </row>
    <row r="29" spans="1:376" ht="20.149999999999999"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3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074"/>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54867</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7518.576</v>
      </c>
      <c r="IC29" s="2063">
        <f>'G - Cash Flow'!H29</f>
        <v>6137.4610000000002</v>
      </c>
      <c r="ID29" s="2063">
        <f>'G - Cash Flow'!I29</f>
        <v>8415.0069999999996</v>
      </c>
      <c r="IE29" s="2063">
        <f>'G - Cash Flow'!J29</f>
        <v>6111.0320000000002</v>
      </c>
      <c r="IF29" s="2063">
        <f>'G - Cash Flow'!K29</f>
        <v>7522.5110000000004</v>
      </c>
      <c r="IG29" s="2063">
        <f>'G - Cash Flow'!L29</f>
        <v>11957</v>
      </c>
      <c r="IH29" s="2063">
        <f>'G - Cash Flow'!M29</f>
        <v>9673</v>
      </c>
      <c r="II29" s="2063">
        <f>'G - Cash Flow'!N29</f>
        <v>9153</v>
      </c>
      <c r="IJ29" s="2149">
        <f>'G - Cash Flow'!O29</f>
        <v>98715.121209999998</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100">
        <f>'K - Capital Disposals'!J29</f>
        <v>0</v>
      </c>
      <c r="KW29" s="3095"/>
      <c r="KX29" s="3095"/>
      <c r="KY29" s="3095"/>
      <c r="KZ29" s="3095"/>
      <c r="LA29" s="3095"/>
      <c r="LB29" s="3096"/>
      <c r="LC29" s="1934"/>
      <c r="LE29" s="2172">
        <f>'L - EFL'!A29</f>
        <v>18</v>
      </c>
      <c r="LF29" s="2173" t="str">
        <f>'L - EFL'!B29</f>
        <v>NET FINANCIAL CHANGE</v>
      </c>
      <c r="LG29" s="2174">
        <f>'L - EFL'!C29</f>
        <v>2110.0004800000002</v>
      </c>
      <c r="LH29" s="2174">
        <f>'L - EFL'!D29</f>
        <v>2757.8504800000173</v>
      </c>
      <c r="LI29" s="2175">
        <f>'L - EFL'!E29</f>
        <v>647.85000000001639</v>
      </c>
      <c r="LJ29" s="2174">
        <f>'L - EFL'!F29</f>
        <v>2428.8725200000008</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031" t="str">
        <f>'P - Ringfenced'!B29</f>
        <v>Table B : Additional In-Year (23/24 Anticipated &amp; Allocated)</v>
      </c>
      <c r="MT29" s="3036"/>
      <c r="MU29" s="3022"/>
      <c r="MV29" s="3022"/>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49999999999999"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4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074"/>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9.01</v>
      </c>
      <c r="KS30" s="2149">
        <f>'K - Capital Disposals'!G30</f>
        <v>0</v>
      </c>
      <c r="KT30" s="2149">
        <f>'K - Capital Disposals'!H30</f>
        <v>0</v>
      </c>
      <c r="KU30" s="2054">
        <f>'K - Capital Disposals'!I30</f>
        <v>-9.01</v>
      </c>
      <c r="KV30" s="3100">
        <f>'K - Capital Disposals'!J30</f>
        <v>0</v>
      </c>
      <c r="KW30" s="3095"/>
      <c r="KX30" s="3095"/>
      <c r="KY30" s="3095"/>
      <c r="KZ30" s="3095"/>
      <c r="LA30" s="3095"/>
      <c r="LB30" s="3096"/>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037"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49999999999999"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2998.5833333333335</v>
      </c>
      <c r="EO31" s="73">
        <f>'C, C1, C2&amp; C3 - Savings Schemes'!Q31</f>
        <v>3174</v>
      </c>
      <c r="EP31" s="2079"/>
      <c r="EQ31" s="2080"/>
      <c r="ER31" s="2080"/>
      <c r="ES31" s="2080"/>
      <c r="ET31" s="2080"/>
      <c r="EU31" s="608"/>
      <c r="EV31" s="594"/>
      <c r="EW31" s="1931"/>
      <c r="EX31" s="3074"/>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39656</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2110.0004800000002</v>
      </c>
      <c r="IJ31" s="2149">
        <f>'G - Cash Flow'!O31</f>
        <v>2110.0004800000002</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05"/>
      <c r="KV31" s="3105"/>
      <c r="KW31" s="3105"/>
      <c r="KX31" s="3105"/>
      <c r="KY31" s="3105"/>
      <c r="KZ31" s="3105"/>
      <c r="LA31" s="3105"/>
      <c r="LB31" s="3105"/>
      <c r="LC31" s="1934"/>
      <c r="LE31" s="1614">
        <f>'L - EFL'!A31</f>
        <v>19</v>
      </c>
      <c r="LF31" s="1613" t="str">
        <f>'L - EFL'!B31</f>
        <v>Increase in Public Dividend Capital</v>
      </c>
      <c r="LG31" s="1778">
        <f>'L - EFL'!C31</f>
        <v>-2110.0004800000002</v>
      </c>
      <c r="LH31" s="1778">
        <f>'L - EFL'!D31</f>
        <v>-2757.8504800000173</v>
      </c>
      <c r="LI31" s="1612">
        <f>'L - EFL'!E31</f>
        <v>-647.85000000001719</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019">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49999999999999"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-5049.0336643093351</v>
      </c>
      <c r="P32" s="1130">
        <f>'A - Movement'!D32</f>
        <v>-5049.0336643093351</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1.900000000887303E-4</v>
      </c>
      <c r="X32" s="1130">
        <f>'A - Movement'!K32</f>
        <v>-128.49630925089446</v>
      </c>
      <c r="Y32" s="1130">
        <f>'A - Movement'!L32</f>
        <v>-608.51301292608559</v>
      </c>
      <c r="Z32" s="1130">
        <f>'A - Movement'!M32</f>
        <v>-239.42790425089447</v>
      </c>
      <c r="AA32" s="1130">
        <f>'A - Movement'!N32</f>
        <v>-134.90549425089444</v>
      </c>
      <c r="AB32" s="1130">
        <f>'A - Movement'!O32</f>
        <v>-809.18420125941884</v>
      </c>
      <c r="AC32" s="1130">
        <f>'A - Movement'!P32</f>
        <v>-213.39209698581726</v>
      </c>
      <c r="AD32" s="1130">
        <f>'A - Movement'!Q32</f>
        <v>-605.06149584160221</v>
      </c>
      <c r="AE32" s="1130">
        <f>'A - Movement'!R32</f>
        <v>-984.24359865248391</v>
      </c>
      <c r="AF32" s="1130">
        <f>'A - Movement'!S32</f>
        <v>-323.13252698581755</v>
      </c>
      <c r="AG32" s="1130">
        <f>'A - Movement'!T32</f>
        <v>-445.7747846973873</v>
      </c>
      <c r="AH32" s="1130">
        <f>'A - Movement'!U32</f>
        <v>-556.90242920803939</v>
      </c>
      <c r="AI32" s="1130">
        <f>'A - Movement'!V32</f>
        <v>-4492.1312351012957</v>
      </c>
      <c r="AJ32" s="1130">
        <f>'A - Movement'!W32</f>
        <v>-5049.0336643093351</v>
      </c>
      <c r="AK32" s="1130">
        <f t="shared" si="9"/>
        <v>-5049.0336643093351</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645.16999999999996</v>
      </c>
      <c r="BM32" s="1782">
        <f>'B - Monthly Positions'!I32</f>
        <v>543.77</v>
      </c>
      <c r="BN32" s="1782">
        <f>'B - Monthly Positions'!J32</f>
        <v>543.77</v>
      </c>
      <c r="BO32" s="1782">
        <f>'B - Monthly Positions'!K32</f>
        <v>502.17</v>
      </c>
      <c r="BP32" s="1782">
        <f>'B - Monthly Positions'!L32</f>
        <v>528.91999999999996</v>
      </c>
      <c r="BQ32" s="1782">
        <f>'B - Monthly Positions'!M32</f>
        <v>528.16999999999996</v>
      </c>
      <c r="BR32" s="1782">
        <f>'B - Monthly Positions'!N32</f>
        <v>594.5</v>
      </c>
      <c r="BS32" s="1814">
        <f>'B - Monthly Positions'!O32</f>
        <v>884</v>
      </c>
      <c r="BT32" s="1781">
        <f>'B - Monthly Positions'!P32</f>
        <v>5960.6310000000003</v>
      </c>
      <c r="BU32" s="1781">
        <f>'B - Monthly Positions'!Q32</f>
        <v>6844.6310000000003</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2998.5833333333335</v>
      </c>
      <c r="EO32" s="75">
        <f>'C, C1, C2&amp; C3 - Savings Schemes'!Q32</f>
        <v>3174</v>
      </c>
      <c r="EP32" s="1166">
        <f>'C, C1, C2&amp; C3 - Savings Schemes'!R32</f>
        <v>0.94473324931737035</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074"/>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14.34</v>
      </c>
      <c r="IC32" s="2063">
        <f>'G - Cash Flow'!H32</f>
        <v>67.578000000000003</v>
      </c>
      <c r="ID32" s="2063">
        <f>'G - Cash Flow'!I32</f>
        <v>11.494</v>
      </c>
      <c r="IE32" s="2063">
        <f>'G - Cash Flow'!J32</f>
        <v>71.138999999999996</v>
      </c>
      <c r="IF32" s="2063">
        <f>'G - Cash Flow'!K32</f>
        <v>53.414999999999999</v>
      </c>
      <c r="IG32" s="2063">
        <f>'G - Cash Flow'!L32</f>
        <v>242</v>
      </c>
      <c r="IH32" s="2063">
        <f>'G - Cash Flow'!M32</f>
        <v>399</v>
      </c>
      <c r="II32" s="2063">
        <f>'G - Cash Flow'!N32</f>
        <v>1379.7077300000001</v>
      </c>
      <c r="IJ32" s="2149">
        <f>'G - Cash Flow'!O32</f>
        <v>2511.2598800000001</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05"/>
      <c r="KV32" s="3105"/>
      <c r="KW32" s="3105"/>
      <c r="KX32" s="3105"/>
      <c r="KY32" s="3105"/>
      <c r="KZ32" s="3105"/>
      <c r="LA32" s="3105"/>
      <c r="LB32" s="3105"/>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08" t="str">
        <f>'N - GMS'!A32</f>
        <v/>
      </c>
      <c r="LY32" s="3108"/>
      <c r="LZ32" s="3108"/>
      <c r="MA32" s="3109"/>
      <c r="MB32" s="3109"/>
      <c r="MC32" s="3109"/>
      <c r="MD32" s="3109"/>
      <c r="ME32" s="3109"/>
      <c r="MF32" s="3109"/>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019">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49999999999999"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34.42</v>
      </c>
      <c r="BM33" s="1782">
        <f>'B - Monthly Positions'!I33</f>
        <v>28.12</v>
      </c>
      <c r="BN33" s="1782">
        <f>'B - Monthly Positions'!J33</f>
        <v>28.12</v>
      </c>
      <c r="BO33" s="1782">
        <f>'B - Monthly Positions'!K33</f>
        <v>28.12</v>
      </c>
      <c r="BP33" s="1782">
        <f>'B - Monthly Positions'!L33</f>
        <v>28.12</v>
      </c>
      <c r="BQ33" s="1782">
        <f>'B - Monthly Positions'!M33</f>
        <v>28.12</v>
      </c>
      <c r="BR33" s="1782">
        <f>'B - Monthly Positions'!N33</f>
        <v>28.12</v>
      </c>
      <c r="BS33" s="1814">
        <f>'B - Monthly Positions'!O33</f>
        <v>28.42</v>
      </c>
      <c r="BT33" s="1781">
        <f>'B - Monthly Positions'!P33</f>
        <v>309.45000000000005</v>
      </c>
      <c r="BU33" s="1781">
        <f>'B - Monthly Positions'!Q33</f>
        <v>337.87000000000006</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197</v>
      </c>
      <c r="CV33" s="1768">
        <f>'B2 - Pay &amp; Agency'!H33</f>
        <v>148</v>
      </c>
      <c r="CW33" s="1768">
        <f>'B2 - Pay &amp; Agency'!I33</f>
        <v>44</v>
      </c>
      <c r="CX33" s="1768">
        <f>'B2 - Pay &amp; Agency'!J33</f>
        <v>120</v>
      </c>
      <c r="CY33" s="1768">
        <f>'B2 - Pay &amp; Agency'!K33</f>
        <v>81</v>
      </c>
      <c r="CZ33" s="1768">
        <f>'B2 - Pay &amp; Agency'!L33</f>
        <v>164</v>
      </c>
      <c r="DA33" s="1768">
        <f>'B2 - Pay &amp; Agency'!M33</f>
        <v>231</v>
      </c>
      <c r="DB33" s="1769">
        <f>'B2 - Pay &amp; Agency'!N33</f>
        <v>145</v>
      </c>
      <c r="DC33" s="1131">
        <f>'B2 - Pay &amp; Agency'!O33</f>
        <v>1595</v>
      </c>
      <c r="DD33" s="1322">
        <f>'B2 - Pay &amp; Agency'!P33</f>
        <v>1740</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832.1872800000001</v>
      </c>
      <c r="DM33" s="1906">
        <f>'B3 - COVID-19'!H33</f>
        <v>666.98030000000017</v>
      </c>
      <c r="DN33" s="1906">
        <f>'B3 - COVID-19'!I33</f>
        <v>1043.71432</v>
      </c>
      <c r="DO33" s="1906">
        <f>'B3 - COVID-19'!J33</f>
        <v>690.48825999999997</v>
      </c>
      <c r="DP33" s="1906">
        <f>'B3 - COVID-19'!K33</f>
        <v>800.72830999999996</v>
      </c>
      <c r="DQ33" s="1906">
        <f>'B3 - COVID-19'!L33</f>
        <v>882.49755999999991</v>
      </c>
      <c r="DR33" s="1906">
        <f>'B3 - COVID-19'!M33</f>
        <v>774.53838999999982</v>
      </c>
      <c r="DS33" s="1906">
        <f>'B3 - COVID-19'!N33</f>
        <v>1099.64933</v>
      </c>
      <c r="DT33" s="1906">
        <f>'B3 - COVID-19'!O33</f>
        <v>8829.5543600000019</v>
      </c>
      <c r="DU33" s="1906">
        <f>'B3 - COVID-19'!P33</f>
        <v>9929.2036900000003</v>
      </c>
      <c r="DV33" s="608"/>
      <c r="DW33" s="1115"/>
      <c r="DY33" s="2207">
        <f>'C, C1, C2&amp; C3 - Savings Schemes'!A33</f>
        <v>21</v>
      </c>
      <c r="DZ33" s="304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074"/>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088" t="str">
        <f>'K - Capital Disposals'!J33</f>
        <v>Comments</v>
      </c>
      <c r="KW33" s="3089"/>
      <c r="KX33" s="3089"/>
      <c r="KY33" s="3089"/>
      <c r="KZ33" s="3089"/>
      <c r="LA33" s="3089"/>
      <c r="LB33" s="3090"/>
      <c r="LC33" s="1934"/>
      <c r="LE33" s="1614">
        <f>'L - EFL'!A33</f>
        <v>21</v>
      </c>
      <c r="LF33" s="1613" t="str">
        <f>'L - EFL'!B33</f>
        <v>Change in bank deposits and interest bearing securities</v>
      </c>
      <c r="LG33" s="1778">
        <f>'L - EFL'!C33</f>
        <v>0</v>
      </c>
      <c r="LH33" s="1778">
        <f>'L - EFL'!D33</f>
        <v>0</v>
      </c>
      <c r="LI33" s="1612">
        <f>'L - EFL'!E33</f>
        <v>0</v>
      </c>
      <c r="LJ33" s="1778">
        <f>'L - EFL'!F33</f>
        <v>-5711</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019">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49999999999999" customHeight="1" thickBot="1">
      <c r="M34" s="949">
        <f>'A - Movement'!A34</f>
        <v>24</v>
      </c>
      <c r="N34" s="1861" t="str">
        <f>'A - Movement'!B34</f>
        <v>Additional In Year &amp; Movement Expenditure for Covid-19 (Negative Value - additional/Postive Value - reduction)</v>
      </c>
      <c r="O34" s="1130">
        <f>'A - Movement'!C34</f>
        <v>5049.0338543093358</v>
      </c>
      <c r="P34" s="1130">
        <f>'A - Movement'!D34</f>
        <v>5049.0338543093358</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134.90549425089444</v>
      </c>
      <c r="AB34" s="1130">
        <f>'A - Movement'!O34</f>
        <v>809.18420125941884</v>
      </c>
      <c r="AC34" s="1130">
        <f>'A - Movement'!P34</f>
        <v>213.39209698581726</v>
      </c>
      <c r="AD34" s="1130">
        <f>'A - Movement'!Q34</f>
        <v>605.06149584160221</v>
      </c>
      <c r="AE34" s="1130">
        <f>'A - Movement'!R34</f>
        <v>984.24359865248391</v>
      </c>
      <c r="AF34" s="1130">
        <f>'A - Movement'!S34</f>
        <v>323.13252698581755</v>
      </c>
      <c r="AG34" s="1130">
        <f>'A - Movement'!T34</f>
        <v>445.7747846973873</v>
      </c>
      <c r="AH34" s="1130">
        <f>'A - Movement'!U34</f>
        <v>556.90242920803939</v>
      </c>
      <c r="AI34" s="1130">
        <f>'A - Movement'!V34</f>
        <v>4492.1314251012964</v>
      </c>
      <c r="AJ34" s="1130">
        <f>'A - Movement'!W34</f>
        <v>5049.0338543093358</v>
      </c>
      <c r="AK34" s="1130">
        <f t="shared" si="9"/>
        <v>5049.0338543093358</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0</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-10</v>
      </c>
      <c r="CW34" s="1776">
        <f>'B2 - Pay &amp; Agency'!I34</f>
        <v>1</v>
      </c>
      <c r="CX34" s="1776">
        <f>'B2 - Pay &amp; Agency'!J34</f>
        <v>4</v>
      </c>
      <c r="CY34" s="1776">
        <f>'B2 - Pay &amp; Agency'!K34</f>
        <v>2</v>
      </c>
      <c r="CZ34" s="1776">
        <f>'B2 - Pay &amp; Agency'!L34</f>
        <v>4</v>
      </c>
      <c r="DA34" s="1776">
        <f>'B2 - Pay &amp; Agency'!M34</f>
        <v>120</v>
      </c>
      <c r="DB34" s="1777">
        <f>'B2 - Pay &amp; Agency'!N34</f>
        <v>23.727272727272727</v>
      </c>
      <c r="DC34" s="1323">
        <f>'B2 - Pay &amp; Agency'!O34</f>
        <v>261</v>
      </c>
      <c r="DD34" s="1324">
        <f>'B2 - Pay &amp; Agency'!P34</f>
        <v>284.72727272727275</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905.97806000000014</v>
      </c>
      <c r="DM34" s="1911">
        <f>'B3 - COVID-19'!H34</f>
        <v>753.23805000000016</v>
      </c>
      <c r="DN34" s="1911">
        <f>'B3 - COVID-19'!I34</f>
        <v>1092.2154500000001</v>
      </c>
      <c r="DO34" s="1911">
        <f>'B3 - COVID-19'!J34</f>
        <v>742.20555999999999</v>
      </c>
      <c r="DP34" s="1911">
        <f>'B3 - COVID-19'!K34</f>
        <v>850.42445999999995</v>
      </c>
      <c r="DQ34" s="1911">
        <f>'B3 - COVID-19'!L34</f>
        <v>934.07125999999994</v>
      </c>
      <c r="DR34" s="1911">
        <f>'B3 - COVID-19'!M34</f>
        <v>834.38374999999985</v>
      </c>
      <c r="DS34" s="1911">
        <f>'B3 - COVID-19'!N34</f>
        <v>1157.2814366666667</v>
      </c>
      <c r="DT34" s="1911">
        <f>'B3 - COVID-19'!O34</f>
        <v>9486.5821000000014</v>
      </c>
      <c r="DU34" s="1911">
        <f>'B3 - COVID-19'!P34</f>
        <v>10643.863536666668</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075"/>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18825.784</v>
      </c>
      <c r="IC34" s="2129">
        <f>'G - Cash Flow'!H34</f>
        <v>16804.606</v>
      </c>
      <c r="ID34" s="2129">
        <f>'G - Cash Flow'!I34</f>
        <v>20236.596999999998</v>
      </c>
      <c r="IE34" s="2129">
        <f>'G - Cash Flow'!J34</f>
        <v>17085.581999999999</v>
      </c>
      <c r="IF34" s="2129">
        <f>'G - Cash Flow'!K34</f>
        <v>18511.091</v>
      </c>
      <c r="IG34" s="2129">
        <f>'G - Cash Flow'!L34</f>
        <v>23811</v>
      </c>
      <c r="IH34" s="2129">
        <f>'G - Cash Flow'!M34</f>
        <v>21495</v>
      </c>
      <c r="II34" s="2129">
        <f>'G - Cash Flow'!N34</f>
        <v>24065.708209999997</v>
      </c>
      <c r="IJ34" s="2129">
        <f>'G - Cash Flow'!O34</f>
        <v>239340.87506999998</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4"/>
      <c r="KW34" s="3095"/>
      <c r="KX34" s="3095"/>
      <c r="KY34" s="3095"/>
      <c r="KZ34" s="3095"/>
      <c r="LA34" s="3095"/>
      <c r="LB34" s="3096"/>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018"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49999999999999"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9.01</v>
      </c>
      <c r="BP35" s="1800">
        <f>'B - Monthly Positions'!L35</f>
        <v>0</v>
      </c>
      <c r="BQ35" s="1800">
        <f>'B - Monthly Positions'!M35</f>
        <v>0</v>
      </c>
      <c r="BR35" s="1800">
        <f>'B - Monthly Positions'!N35</f>
        <v>0</v>
      </c>
      <c r="BS35" s="1821">
        <f>'B - Monthly Positions'!O35</f>
        <v>0</v>
      </c>
      <c r="BT35" s="1799">
        <f>'B - Monthly Positions'!P35</f>
        <v>9.01</v>
      </c>
      <c r="BU35" s="1799">
        <f>'B - Monthly Positions'!Q35</f>
        <v>9.01</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v>
      </c>
      <c r="CW35" s="1776">
        <f>'B2 - Pay &amp; Agency'!I35</f>
        <v>0</v>
      </c>
      <c r="CX35" s="1776">
        <f>'B2 - Pay &amp; Agency'!J35</f>
        <v>0</v>
      </c>
      <c r="CY35" s="1776">
        <f>'B2 - Pay &amp; Agency'!K35</f>
        <v>0</v>
      </c>
      <c r="CZ35" s="1776">
        <f>'B2 - Pay &amp; Agency'!L35</f>
        <v>0</v>
      </c>
      <c r="DA35" s="1776">
        <f>'B2 - Pay &amp; Agency'!M35</f>
        <v>0</v>
      </c>
      <c r="DB35" s="1777">
        <f>'B2 - Pay &amp; Agency'!N35</f>
        <v>0.27272727272727271</v>
      </c>
      <c r="DC35" s="1323">
        <f>'B2 - Pay &amp; Agency'!O35</f>
        <v>3</v>
      </c>
      <c r="DD35" s="1324">
        <f>'B2 - Pay &amp; Agency'!P35</f>
        <v>3.2727272727272725</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7376</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100">
        <f>'K - Capital Disposals'!J35</f>
        <v>0</v>
      </c>
      <c r="KW35" s="3095"/>
      <c r="KX35" s="3095"/>
      <c r="KY35" s="3095"/>
      <c r="KZ35" s="3095"/>
      <c r="LA35" s="3095"/>
      <c r="LB35" s="3096"/>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10" t="str">
        <f>'O - Dental'!A35</f>
        <v>Health Board staff costs associated with the delivery / monitoring of the dental contract</v>
      </c>
      <c r="MI35" s="3111"/>
      <c r="MJ35" s="700">
        <f>'O - Dental'!C35</f>
        <v>25</v>
      </c>
      <c r="MK35" s="663">
        <f>'O - Dental'!D35</f>
        <v>0</v>
      </c>
      <c r="ML35" s="2202">
        <f>'O - Dental'!E35</f>
        <v>0</v>
      </c>
      <c r="MM35" s="2203">
        <f>'O - Dental'!F35</f>
        <v>0</v>
      </c>
      <c r="MN35" s="2204">
        <f>'O - Dental'!G35</f>
        <v>0</v>
      </c>
      <c r="MO35" s="308"/>
      <c r="MP35" s="1764">
        <f>'O - Dental'!I35</f>
        <v>0</v>
      </c>
      <c r="MR35" s="683"/>
      <c r="MS35" s="3019">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49999999999999"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-147</v>
      </c>
      <c r="AB36" s="953">
        <f>'A - Movement'!O36</f>
        <v>114</v>
      </c>
      <c r="AC36" s="953">
        <f>'A - Movement'!P36</f>
        <v>-4</v>
      </c>
      <c r="AD36" s="953">
        <f>'A - Movement'!Q36</f>
        <v>-108</v>
      </c>
      <c r="AE36" s="953">
        <f>'A - Movement'!R36</f>
        <v>8</v>
      </c>
      <c r="AF36" s="953">
        <f>'A - Movement'!S36</f>
        <v>46</v>
      </c>
      <c r="AG36" s="953">
        <f>'A - Movement'!T36</f>
        <v>39</v>
      </c>
      <c r="AH36" s="953">
        <f>'A - Movement'!U36</f>
        <v>-105</v>
      </c>
      <c r="AI36" s="1130">
        <f>'A - Movement'!V36</f>
        <v>105</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t="str">
        <f>'A2 - Risks'!B36</f>
        <v>Microsoft VAT recovery currently being pursued by DHCW</v>
      </c>
      <c r="BB36" s="1823">
        <f>'A2 - Risks'!C36</f>
        <v>521</v>
      </c>
      <c r="BC36" s="1824" t="str">
        <f>'A2 - Risks'!D36</f>
        <v>Medium</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20051.999999999996</v>
      </c>
      <c r="BM36" s="1109">
        <f>'B - Monthly Positions'!I36</f>
        <v>19699</v>
      </c>
      <c r="BN36" s="1109">
        <f>'B - Monthly Positions'!J36</f>
        <v>20658</v>
      </c>
      <c r="BO36" s="1109">
        <f>'B - Monthly Positions'!K36</f>
        <v>20315.999999999996</v>
      </c>
      <c r="BP36" s="1109">
        <f>'B - Monthly Positions'!L36</f>
        <v>15483.000000000004</v>
      </c>
      <c r="BQ36" s="1109">
        <f>'B - Monthly Positions'!M36</f>
        <v>20872.999999999993</v>
      </c>
      <c r="BR36" s="1109">
        <f>'B - Monthly Positions'!N36</f>
        <v>13162.000000000005</v>
      </c>
      <c r="BS36" s="1109">
        <f>'B - Monthly Positions'!O36</f>
        <v>25913.661746666665</v>
      </c>
      <c r="BT36" s="1109">
        <f>'B - Monthly Positions'!P36</f>
        <v>206621</v>
      </c>
      <c r="BU36" s="1109">
        <f>'B - Monthly Positions'!Q36</f>
        <v>232534.66174666665</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13715.314111616448</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073"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2998.5833333333326</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-1772.9360000000015</v>
      </c>
      <c r="IC36" s="2054">
        <f>'G - Cash Flow'!H36</f>
        <v>6067.0529999999999</v>
      </c>
      <c r="ID36" s="2054">
        <f>'G - Cash Flow'!I36</f>
        <v>-3086.3169999999991</v>
      </c>
      <c r="IE36" s="2054">
        <f>'G - Cash Flow'!J36</f>
        <v>3300.9300000000003</v>
      </c>
      <c r="IF36" s="2054">
        <f>'G - Cash Flow'!K36</f>
        <v>8612.6320000000014</v>
      </c>
      <c r="IG36" s="2054">
        <f>'G - Cash Flow'!L36</f>
        <v>-1552</v>
      </c>
      <c r="IH36" s="2054">
        <f>'G - Cash Flow'!M36</f>
        <v>-4346</v>
      </c>
      <c r="II36" s="2054">
        <f>'G - Cash Flow'!N36</f>
        <v>-5710.7082099999971</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-2110.0004800000002</v>
      </c>
      <c r="LH36" s="1603">
        <f>'L - EFL'!D36</f>
        <v>-2757.8504800000173</v>
      </c>
      <c r="LI36" s="2228">
        <f>'L - EFL'!E36</f>
        <v>-647.85000000001719</v>
      </c>
      <c r="LJ36" s="1603">
        <f>'L - EFL'!F36</f>
        <v>-5711</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10" t="str">
        <f>'O - Dental'!A36</f>
        <v>Oral Surgery</v>
      </c>
      <c r="MI36" s="3111"/>
      <c r="MJ36" s="700">
        <f>'O - Dental'!C36</f>
        <v>26</v>
      </c>
      <c r="MK36" s="663">
        <f>'O - Dental'!D36</f>
        <v>0</v>
      </c>
      <c r="ML36" s="2202">
        <f>'O - Dental'!E36</f>
        <v>0</v>
      </c>
      <c r="MM36" s="2203">
        <f>'O - Dental'!F36</f>
        <v>0</v>
      </c>
      <c r="MN36" s="2204">
        <f>'O - Dental'!G36</f>
        <v>0</v>
      </c>
      <c r="MO36" s="308"/>
      <c r="MP36" s="1764">
        <f>'O - Dental'!I36</f>
        <v>0</v>
      </c>
      <c r="MR36" s="683"/>
      <c r="MS36" s="3019">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49999999999999"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-146.99999999999636</v>
      </c>
      <c r="BM37" s="1131">
        <f>'B - Monthly Positions'!I37</f>
        <v>114</v>
      </c>
      <c r="BN37" s="1131">
        <f>'B - Monthly Positions'!J37</f>
        <v>-4</v>
      </c>
      <c r="BO37" s="1131">
        <f>'B - Monthly Positions'!K37</f>
        <v>-107.99999999999636</v>
      </c>
      <c r="BP37" s="1131">
        <f>'B - Monthly Positions'!L37</f>
        <v>7.999999999996362</v>
      </c>
      <c r="BQ37" s="1131">
        <f>'B - Monthly Positions'!M37</f>
        <v>46.000000000007276</v>
      </c>
      <c r="BR37" s="1131">
        <f>'B - Monthly Positions'!N37</f>
        <v>38.999999999994543</v>
      </c>
      <c r="BS37" s="1109">
        <f>'B - Monthly Positions'!O37</f>
        <v>-105</v>
      </c>
      <c r="BT37" s="1131">
        <f>'B - Monthly Positions'!P37</f>
        <v>105</v>
      </c>
      <c r="BU37" s="1131">
        <f>'B - Monthly Positions'!Q37</f>
        <v>0</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20</v>
      </c>
      <c r="CV37" s="1776">
        <f>'B2 - Pay &amp; Agency'!H37</f>
        <v>8</v>
      </c>
      <c r="CW37" s="1776">
        <f>'B2 - Pay &amp; Agency'!I37</f>
        <v>16</v>
      </c>
      <c r="CX37" s="1776">
        <f>'B2 - Pay &amp; Agency'!J37</f>
        <v>5</v>
      </c>
      <c r="CY37" s="1776">
        <f>'B2 - Pay &amp; Agency'!K37</f>
        <v>2</v>
      </c>
      <c r="CZ37" s="1776">
        <f>'B2 - Pay &amp; Agency'!L37</f>
        <v>9</v>
      </c>
      <c r="DA37" s="1776">
        <f>'B2 - Pay &amp; Agency'!M37</f>
        <v>22</v>
      </c>
      <c r="DB37" s="1777">
        <f>'B2 - Pay &amp; Agency'!N37</f>
        <v>16.727272727272727</v>
      </c>
      <c r="DC37" s="1323">
        <f>'B2 - Pay &amp; Agency'!O37</f>
        <v>184</v>
      </c>
      <c r="DD37" s="1324">
        <f>'B2 - Pay &amp; Agency'!P37</f>
        <v>200.72727272727272</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109.73898940240952</v>
      </c>
      <c r="DM37" s="2778">
        <f>'B3 - COVID-19'!H37</f>
        <v>719.0221164109339</v>
      </c>
      <c r="DN37" s="2778">
        <f>'B3 - COVID-19'!I37</f>
        <v>179.50531213733234</v>
      </c>
      <c r="DO37" s="2778">
        <f>'B3 - COVID-19'!J37</f>
        <v>534.7356309931173</v>
      </c>
      <c r="DP37" s="2778">
        <f>'B3 - COVID-19'!K37</f>
        <v>950.85369380399902</v>
      </c>
      <c r="DQ37" s="2778">
        <f>'B3 - COVID-19'!L37</f>
        <v>375.64950213733255</v>
      </c>
      <c r="DR37" s="2778">
        <f>'B3 - COVID-19'!M37</f>
        <v>371.46091484890246</v>
      </c>
      <c r="DS37" s="2778">
        <f>'B3 - COVID-19'!N37</f>
        <v>567.40444935955452</v>
      </c>
      <c r="DT37" s="2778">
        <f>'B3 - COVID-19'!O37</f>
        <v>4228.7320116164465</v>
      </c>
      <c r="DU37" s="2778">
        <f>'B3 - COVID-19'!P37</f>
        <v>4796.1364609760021</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074"/>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2998.5833333333326</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1874</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12283.656979999992</v>
      </c>
      <c r="ID37" s="2237">
        <f>'G - Cash Flow'!I37</f>
        <v>18350.709979999992</v>
      </c>
      <c r="IE37" s="2237">
        <f>'G - Cash Flow'!J37</f>
        <v>15264.392979999993</v>
      </c>
      <c r="IF37" s="2237">
        <f>'G - Cash Flow'!K37</f>
        <v>18565.322979999994</v>
      </c>
      <c r="IG37" s="2237">
        <f>'G - Cash Flow'!L37</f>
        <v>27177.954979999995</v>
      </c>
      <c r="IH37" s="2237">
        <f>'G - Cash Flow'!M37</f>
        <v>25625.954979999995</v>
      </c>
      <c r="II37" s="2237">
        <f>'G - Cash Flow'!N37</f>
        <v>21279.954979999995</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12" t="str">
        <f>'O - Dental'!A37</f>
        <v>Orthodontics</v>
      </c>
      <c r="MI37" s="3113"/>
      <c r="MJ37" s="700">
        <f>'O - Dental'!C37</f>
        <v>27</v>
      </c>
      <c r="MK37" s="663">
        <f>'O - Dental'!D37</f>
        <v>0</v>
      </c>
      <c r="ML37" s="2202">
        <f>'O - Dental'!E37</f>
        <v>0</v>
      </c>
      <c r="MM37" s="2203">
        <f>'O - Dental'!F37</f>
        <v>0</v>
      </c>
      <c r="MN37" s="2204">
        <f>'O - Dental'!G37</f>
        <v>0</v>
      </c>
      <c r="MO37" s="308"/>
      <c r="MP37" s="1764">
        <f>'O - Dental'!I37</f>
        <v>0</v>
      </c>
      <c r="MR37" s="683"/>
      <c r="MS37" s="3019">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49999999999999"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-10</v>
      </c>
      <c r="CV38" s="1776">
        <f>'B2 - Pay &amp; Agency'!H38</f>
        <v>-1</v>
      </c>
      <c r="CW38" s="1776">
        <f>'B2 - Pay &amp; Agency'!I38</f>
        <v>0</v>
      </c>
      <c r="CX38" s="1776">
        <f>'B2 - Pay &amp; Agency'!J38</f>
        <v>0</v>
      </c>
      <c r="CY38" s="1776">
        <f>'B2 - Pay &amp; Agency'!K38</f>
        <v>0</v>
      </c>
      <c r="CZ38" s="1776">
        <f>'B2 - Pay &amp; Agency'!L38</f>
        <v>0</v>
      </c>
      <c r="DA38" s="1776">
        <f>'B2 - Pay &amp; Agency'!M38</f>
        <v>-1</v>
      </c>
      <c r="DB38" s="1777">
        <f>'B2 - Pay &amp; Agency'!N38</f>
        <v>-1.5</v>
      </c>
      <c r="DC38" s="1323">
        <f>'B2 - Pay &amp; Agency'!O38</f>
        <v>-15</v>
      </c>
      <c r="DD38" s="1324">
        <f>'B2 - Pay &amp; Agency'!P38</f>
        <v>-16.5</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074"/>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9250</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12283.656979999992</v>
      </c>
      <c r="IC38" s="2054">
        <f>'G - Cash Flow'!H38</f>
        <v>18350.709979999992</v>
      </c>
      <c r="ID38" s="2054">
        <f>'G - Cash Flow'!I38</f>
        <v>15264.392979999993</v>
      </c>
      <c r="IE38" s="2054">
        <f>'G - Cash Flow'!J38</f>
        <v>18565.322979999994</v>
      </c>
      <c r="IF38" s="2054">
        <f>'G - Cash Flow'!K38</f>
        <v>27177.954979999995</v>
      </c>
      <c r="IG38" s="2054">
        <f>'G - Cash Flow'!L38</f>
        <v>25625.954979999995</v>
      </c>
      <c r="IH38" s="2054">
        <f>'G - Cash Flow'!M38</f>
        <v>21279.954979999995</v>
      </c>
      <c r="II38" s="2054">
        <f>'G - Cash Flow'!N38</f>
        <v>15569.246769999998</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12" t="str">
        <f>'O - Dental'!A38</f>
        <v>Special care dentistry e.g. WHC/2015/002</v>
      </c>
      <c r="MI38" s="3113"/>
      <c r="MJ38" s="700">
        <f>'O - Dental'!C38</f>
        <v>28</v>
      </c>
      <c r="MK38" s="663">
        <f>'O - Dental'!D38</f>
        <v>0</v>
      </c>
      <c r="ML38" s="2202">
        <f>'O - Dental'!E38</f>
        <v>0</v>
      </c>
      <c r="MM38" s="2203">
        <f>'O - Dental'!F38</f>
        <v>0</v>
      </c>
      <c r="MN38" s="2204">
        <f>'O - Dental'!G38</f>
        <v>0</v>
      </c>
      <c r="MO38" s="308"/>
      <c r="MP38" s="1764">
        <f>'O - Dental'!I38</f>
        <v>0</v>
      </c>
      <c r="MR38" s="683"/>
      <c r="MS38" s="3018"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49999999999999"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75</v>
      </c>
      <c r="CV39" s="1776">
        <f>'B2 - Pay &amp; Agency'!H39</f>
        <v>58</v>
      </c>
      <c r="CW39" s="1776">
        <f>'B2 - Pay &amp; Agency'!I39</f>
        <v>48</v>
      </c>
      <c r="CX39" s="1776">
        <f>'B2 - Pay &amp; Agency'!J39</f>
        <v>45</v>
      </c>
      <c r="CY39" s="1776">
        <f>'B2 - Pay &amp; Agency'!K39</f>
        <v>27</v>
      </c>
      <c r="CZ39" s="1776">
        <f>'B2 - Pay &amp; Agency'!L39</f>
        <v>54</v>
      </c>
      <c r="DA39" s="1776">
        <f>'B2 - Pay &amp; Agency'!M39</f>
        <v>71</v>
      </c>
      <c r="DB39" s="1777">
        <f>'B2 - Pay &amp; Agency'!N39</f>
        <v>64.181818181818187</v>
      </c>
      <c r="DC39" s="1323">
        <f>'B2 - Pay &amp; Agency'!O39</f>
        <v>706</v>
      </c>
      <c r="DD39" s="1324">
        <f>'B2 - Pay &amp; Agency'!P39</f>
        <v>770.18181818181824</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063"/>
      <c r="EJ39" s="3064"/>
      <c r="EK39" s="3064"/>
      <c r="EL39" s="3064"/>
      <c r="EM39" s="3064"/>
      <c r="EN39" s="1139"/>
      <c r="EO39" s="1175"/>
      <c r="EP39" s="1176"/>
      <c r="EQ39" s="1929"/>
      <c r="ER39" s="1929"/>
      <c r="ES39" s="1929"/>
      <c r="ET39" s="1929"/>
      <c r="EU39" s="1929"/>
      <c r="EV39" s="1929"/>
      <c r="EW39" s="1929"/>
      <c r="EX39" s="3074"/>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12" t="str">
        <f>'O - Dental'!A39</f>
        <v>Oral Health Promotion/Education</v>
      </c>
      <c r="MI39" s="3113"/>
      <c r="MJ39" s="700">
        <f>'O - Dental'!C39</f>
        <v>29</v>
      </c>
      <c r="MK39" s="663">
        <f>'O - Dental'!D39</f>
        <v>0</v>
      </c>
      <c r="ML39" s="2202">
        <f>'O - Dental'!E39</f>
        <v>0</v>
      </c>
      <c r="MM39" s="2203">
        <f>'O - Dental'!F39</f>
        <v>0</v>
      </c>
      <c r="MN39" s="2204">
        <f>'O - Dental'!G39</f>
        <v>0</v>
      </c>
      <c r="MO39" s="308"/>
      <c r="MP39" s="1764">
        <f>'O - Dental'!I39</f>
        <v>0</v>
      </c>
      <c r="MR39" s="683"/>
      <c r="MS39" s="3019">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49999999999999"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0</v>
      </c>
      <c r="CV40" s="1776">
        <f>'B2 - Pay &amp; Agency'!H40</f>
        <v>0</v>
      </c>
      <c r="CW40" s="1776">
        <f>'B2 - Pay &amp; Agency'!I40</f>
        <v>0</v>
      </c>
      <c r="CX40" s="1776">
        <f>'B2 - Pay &amp; Agency'!J40</f>
        <v>0</v>
      </c>
      <c r="CY40" s="1776">
        <f>'B2 - Pay &amp; Agency'!K40</f>
        <v>0</v>
      </c>
      <c r="CZ40" s="1776">
        <f>'B2 - Pay &amp; Agency'!L40</f>
        <v>0</v>
      </c>
      <c r="DA40" s="1776">
        <f>'B2 - Pay &amp; Agency'!M40</f>
        <v>-8</v>
      </c>
      <c r="DB40" s="1777">
        <f>'B2 - Pay &amp; Agency'!N40</f>
        <v>-9.0909090909090912E-2</v>
      </c>
      <c r="DC40" s="1323">
        <f>'B2 - Pay &amp; Agency'!O40</f>
        <v>-1</v>
      </c>
      <c r="DD40" s="1324">
        <f>'B2 - Pay &amp; Agency'!P40</f>
        <v>-1.0909090909090908</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063"/>
      <c r="EJ40" s="3064"/>
      <c r="EK40" s="3064"/>
      <c r="EL40" s="3064"/>
      <c r="EM40" s="3064"/>
      <c r="EN40" s="1139"/>
      <c r="EO40" s="1175"/>
      <c r="EP40" s="1176"/>
      <c r="EQ40" s="1929"/>
      <c r="ER40" s="1929"/>
      <c r="ES40" s="1929"/>
      <c r="ET40" s="1929"/>
      <c r="EU40" s="1929"/>
      <c r="EV40" s="1929"/>
      <c r="EW40" s="1929"/>
      <c r="EX40" s="3074"/>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30406</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12" t="str">
        <f>'O - Dental'!A40</f>
        <v>Improved ventilation in dental practices</v>
      </c>
      <c r="MI40" s="3113"/>
      <c r="MJ40" s="700">
        <f>'O - Dental'!C40</f>
        <v>30</v>
      </c>
      <c r="MK40" s="663">
        <f>'O - Dental'!D40</f>
        <v>0</v>
      </c>
      <c r="ML40" s="2202">
        <f>'O - Dental'!E40</f>
        <v>0</v>
      </c>
      <c r="MM40" s="2203">
        <f>'O - Dental'!F40</f>
        <v>0</v>
      </c>
      <c r="MN40" s="2204">
        <f>'O - Dental'!G40</f>
        <v>0</v>
      </c>
      <c r="MO40" s="308"/>
      <c r="MP40" s="1764">
        <f>'O - Dental'!I40</f>
        <v>0</v>
      </c>
      <c r="MR40" s="683"/>
      <c r="MS40" s="3019">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49999999999999"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13715.313881616446</v>
      </c>
      <c r="DU41" s="2807">
        <f>'B3 - COVID-19'!P41</f>
        <v>15439.999767642668</v>
      </c>
      <c r="DV41" s="608"/>
      <c r="DW41" s="1115"/>
      <c r="DY41" s="1929"/>
      <c r="DZ41" s="1929"/>
      <c r="EA41" s="1929"/>
      <c r="EB41" s="99"/>
      <c r="EC41" s="99"/>
      <c r="ED41" s="99"/>
      <c r="EE41" s="99"/>
      <c r="EF41" s="99"/>
      <c r="EG41" s="100"/>
      <c r="EH41" s="99"/>
      <c r="EI41" s="3065"/>
      <c r="EJ41" s="3064"/>
      <c r="EK41" s="3064"/>
      <c r="EL41" s="3064"/>
      <c r="EM41" s="3064"/>
      <c r="EN41" s="1139"/>
      <c r="EO41" s="1175"/>
      <c r="EP41" s="1379"/>
      <c r="EQ41" s="1929"/>
      <c r="ER41" s="1929"/>
      <c r="ES41" s="1929"/>
      <c r="ET41" s="1929"/>
      <c r="EU41" s="1929"/>
      <c r="EV41" s="1929"/>
      <c r="EW41" s="1929"/>
      <c r="EX41" s="3074"/>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019">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49999999999999"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310</v>
      </c>
      <c r="CV42" s="1341">
        <f>'B2 - Pay &amp; Agency'!H42</f>
        <v>203</v>
      </c>
      <c r="CW42" s="1341">
        <f>'B2 - Pay &amp; Agency'!I42</f>
        <v>109</v>
      </c>
      <c r="CX42" s="1341">
        <f>'B2 - Pay &amp; Agency'!J42</f>
        <v>174</v>
      </c>
      <c r="CY42" s="1341">
        <f>'B2 - Pay &amp; Agency'!K42</f>
        <v>112</v>
      </c>
      <c r="CZ42" s="1341">
        <f>'B2 - Pay &amp; Agency'!L42</f>
        <v>231</v>
      </c>
      <c r="DA42" s="1341">
        <f>'B2 - Pay &amp; Agency'!M42</f>
        <v>435</v>
      </c>
      <c r="DB42" s="1342">
        <f>'B2 - Pay &amp; Agency'!N42</f>
        <v>248.31818181818181</v>
      </c>
      <c r="DC42" s="1343">
        <f>'B2 - Pay &amp; Agency'!O42</f>
        <v>2733</v>
      </c>
      <c r="DD42" s="1344">
        <f>'B2 - Pay &amp; Agency'!P42</f>
        <v>2981.318181818182</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905.97806000000014</v>
      </c>
      <c r="DM42" s="1325">
        <f>'B3 - COVID-19'!H42</f>
        <v>753.23805000000016</v>
      </c>
      <c r="DN42" s="1325">
        <f>'B3 - COVID-19'!I42</f>
        <v>1092.2154500000001</v>
      </c>
      <c r="DO42" s="1325">
        <f>'B3 - COVID-19'!J42</f>
        <v>742.20555999999999</v>
      </c>
      <c r="DP42" s="1325">
        <f>'B3 - COVID-19'!K42</f>
        <v>850.42445999999995</v>
      </c>
      <c r="DQ42" s="1325">
        <f>'B3 - COVID-19'!L42</f>
        <v>934.07125999999994</v>
      </c>
      <c r="DR42" s="1325">
        <f>'B3 - COVID-19'!M42</f>
        <v>834.38374999999985</v>
      </c>
      <c r="DS42" s="2727">
        <f>'B3 - COVID-19'!N42</f>
        <v>1157.2814366666667</v>
      </c>
      <c r="DT42" s="2801">
        <f>'B3 - COVID-19'!O42</f>
        <v>9486.5821000000014</v>
      </c>
      <c r="DU42" s="2802">
        <f>'B3 - COVID-19'!P42</f>
        <v>10643.863536666668</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074"/>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2998.5833333333326</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114" t="str">
        <f>'N - GMS'!A42</f>
        <v xml:space="preserve">Asylum Seekers &amp; Refugees </v>
      </c>
      <c r="LY42" s="3115"/>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018"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49999999999999"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521</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074"/>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2998.5833333333326</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114" t="str">
        <f>'N - GMS'!A43</f>
        <v>Care of Diabetes</v>
      </c>
      <c r="LY43" s="3115"/>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019">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49999999999999"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2.6793431287813311E-2</v>
      </c>
      <c r="CV44" s="1353">
        <f>'B2 - Pay &amp; Agency'!H44</f>
        <v>1.8026818222182755E-2</v>
      </c>
      <c r="CW44" s="1353">
        <f>'B2 - Pay &amp; Agency'!I44</f>
        <v>9.3618483208794991E-3</v>
      </c>
      <c r="CX44" s="1353">
        <f>'B2 - Pay &amp; Agency'!J44</f>
        <v>1.5331747290510176E-2</v>
      </c>
      <c r="CY44" s="1353">
        <f>'B2 - Pay &amp; Agency'!K44</f>
        <v>9.6793708408953426E-3</v>
      </c>
      <c r="CZ44" s="1353">
        <f>'B2 - Pay &amp; Agency'!L44</f>
        <v>1.9996537396121884E-2</v>
      </c>
      <c r="DA44" s="1353">
        <f>'B2 - Pay &amp; Agency'!M44</f>
        <v>5.3597831444061113E-2</v>
      </c>
      <c r="DB44" s="1353">
        <f>'B2 - Pay &amp; Agency'!N44</f>
        <v>1.98623760095889E-2</v>
      </c>
      <c r="DC44" s="1353">
        <f>'B2 - Pay &amp; Agency'!O44</f>
        <v>2.2074324160602218E-2</v>
      </c>
      <c r="DD44" s="1354">
        <f>'B2 - Pay &amp; Agency'!P44</f>
        <v>2.187145241841509E-2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905.97806000000014</v>
      </c>
      <c r="DM44" s="2797">
        <f>'B3 - COVID-19'!H44</f>
        <v>753.23805000000016</v>
      </c>
      <c r="DN44" s="2797">
        <f>'B3 - COVID-19'!I44</f>
        <v>1092.2154500000001</v>
      </c>
      <c r="DO44" s="2797">
        <f>'B3 - COVID-19'!J44</f>
        <v>742.20555999999999</v>
      </c>
      <c r="DP44" s="2797">
        <f>'B3 - COVID-19'!K44</f>
        <v>850.42445999999995</v>
      </c>
      <c r="DQ44" s="2797">
        <f>'B3 - COVID-19'!L44</f>
        <v>934.07125999999994</v>
      </c>
      <c r="DR44" s="2797">
        <f>'B3 - COVID-19'!M44</f>
        <v>834.38374999999985</v>
      </c>
      <c r="DS44" s="2802">
        <f>'B3 - COVID-19'!N44</f>
        <v>1157.2814366666667</v>
      </c>
      <c r="DT44" s="2801">
        <f>'B3 - COVID-19'!O44</f>
        <v>9486.5821000000014</v>
      </c>
      <c r="DU44" s="2802">
        <f>'B3 - COVID-19'!P44</f>
        <v>10643.863536666668</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Feb 24</v>
      </c>
      <c r="EO44" s="1929"/>
      <c r="EP44" s="1929"/>
      <c r="EQ44" s="1929"/>
      <c r="ER44" s="1929"/>
      <c r="ES44" s="1929"/>
      <c r="ET44" s="1929"/>
      <c r="EU44" s="1929"/>
      <c r="EV44" s="1929"/>
      <c r="EW44" s="1929"/>
      <c r="EX44" s="3075"/>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100">
        <f>'K - Capital Disposals'!J44</f>
        <v>0</v>
      </c>
      <c r="KW44" s="3095"/>
      <c r="KX44" s="3095"/>
      <c r="KY44" s="3095"/>
      <c r="KZ44" s="3095"/>
      <c r="LA44" s="3095"/>
      <c r="LB44" s="3096"/>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019">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49999999999999"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1.6370904631912708E-11</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-109.73898940240952</v>
      </c>
      <c r="DM45" s="2804">
        <f>'B3 - COVID-19'!H45</f>
        <v>-719.0221164109339</v>
      </c>
      <c r="DN45" s="2804">
        <f>'B3 - COVID-19'!I45</f>
        <v>-179.50531213733234</v>
      </c>
      <c r="DO45" s="2804">
        <f>'B3 - COVID-19'!J45</f>
        <v>-534.7356309931173</v>
      </c>
      <c r="DP45" s="2804">
        <f>'B3 - COVID-19'!K45</f>
        <v>-950.85369380399902</v>
      </c>
      <c r="DQ45" s="2804">
        <f>'B3 - COVID-19'!L45</f>
        <v>-375.64950213733255</v>
      </c>
      <c r="DR45" s="2804">
        <f>'B3 - COVID-19'!M45</f>
        <v>-371.46091484890246</v>
      </c>
      <c r="DS45" s="2805">
        <f>'B3 - COVID-19'!N45</f>
        <v>-567.40444935955452</v>
      </c>
      <c r="DT45" s="2803">
        <f>'B3 - COVID-19'!O45</f>
        <v>-4228.731781616445</v>
      </c>
      <c r="DU45" s="2805">
        <f>'B3 - COVID-19'!P45</f>
        <v>-4796.1362309760007</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1166</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1411</v>
      </c>
      <c r="JU45" s="2036">
        <f>'J - Capital In Year Schemes'!E45</f>
        <v>1411</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1.27946</v>
      </c>
      <c r="KB45" s="2036">
        <f>'J - Capital In Year Schemes'!L45</f>
        <v>187.32807</v>
      </c>
      <c r="KC45" s="2036">
        <f>'J - Capital In Year Schemes'!M45</f>
        <v>13.314449999999999</v>
      </c>
      <c r="KD45" s="2036">
        <f>'J - Capital In Year Schemes'!N45</f>
        <v>111.21150999999999</v>
      </c>
      <c r="KE45" s="2036">
        <f>'J - Capital In Year Schemes'!O45</f>
        <v>22.37829</v>
      </c>
      <c r="KF45" s="2036">
        <f>'J - Capital In Year Schemes'!P45</f>
        <v>174.36055999999999</v>
      </c>
      <c r="KG45" s="2036">
        <f>'J - Capital In Year Schemes'!Q45</f>
        <v>881.20772999999997</v>
      </c>
      <c r="KH45" s="2036">
        <f>'J - Capital In Year Schemes'!R45</f>
        <v>528.51444000000004</v>
      </c>
      <c r="KI45" s="2036">
        <f>'J - Capital In Year Schemes'!S45</f>
        <v>1409.72217</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100">
        <f>'K - Capital Disposals'!J45</f>
        <v>0</v>
      </c>
      <c r="KW45" s="3095"/>
      <c r="KX45" s="3095"/>
      <c r="KY45" s="3095"/>
      <c r="KZ45" s="3095"/>
      <c r="LA45" s="3095"/>
      <c r="LB45" s="3096"/>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019">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49999999999999"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100">
        <f>'K - Capital Disposals'!J46</f>
        <v>0</v>
      </c>
      <c r="KW46" s="3095"/>
      <c r="KX46" s="3095"/>
      <c r="KY46" s="3095"/>
      <c r="KZ46" s="3095"/>
      <c r="LA46" s="3095"/>
      <c r="LB46" s="3096"/>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018"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49999999999999"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1.6370904631912708E-11</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4275</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100">
        <f>'K - Capital Disposals'!J47</f>
        <v>0</v>
      </c>
      <c r="KW47" s="3095"/>
      <c r="KX47" s="3095"/>
      <c r="KY47" s="3095"/>
      <c r="KZ47" s="3095"/>
      <c r="LA47" s="3095"/>
      <c r="LB47" s="3096"/>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019">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49999999999999"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556</v>
      </c>
      <c r="HH48" s="199">
        <f>'E1 - Invoiced Income'!O48</f>
        <v>2048</v>
      </c>
      <c r="HI48" s="199">
        <f>'E1 - Invoiced Income'!P48</f>
        <v>199266.66174666665</v>
      </c>
      <c r="HJ48" s="199">
        <f>'E1 - Invoiced Income'!R48</f>
        <v>190</v>
      </c>
      <c r="HK48" s="199">
        <f>'E1 - Invoiced Income'!S48</f>
        <v>0</v>
      </c>
      <c r="HL48" s="199">
        <f>'E1 - Invoiced Income'!T48</f>
        <v>228190.66174666665</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941.61424</v>
      </c>
      <c r="JU48" s="2009">
        <f>'J - Capital In Year Schemes'!E48</f>
        <v>941.61424</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0</v>
      </c>
      <c r="KA48" s="2009">
        <f>'J - Capital In Year Schemes'!K48</f>
        <v>0</v>
      </c>
      <c r="KB48" s="2009">
        <f>'J - Capital In Year Schemes'!L48</f>
        <v>0</v>
      </c>
      <c r="KC48" s="2009">
        <f>'J - Capital In Year Schemes'!M48</f>
        <v>13.642799999999999</v>
      </c>
      <c r="KD48" s="2009">
        <f>'J - Capital In Year Schemes'!N48</f>
        <v>197.20842000000002</v>
      </c>
      <c r="KE48" s="2009">
        <f>'J - Capital In Year Schemes'!O48</f>
        <v>167.0908</v>
      </c>
      <c r="KF48" s="2009">
        <f>'J - Capital In Year Schemes'!P48</f>
        <v>206.63675000000001</v>
      </c>
      <c r="KG48" s="2009">
        <f>'J - Capital In Year Schemes'!Q48</f>
        <v>352</v>
      </c>
      <c r="KH48" s="2089">
        <f>'J - Capital In Year Schemes'!R48</f>
        <v>590.21911999999998</v>
      </c>
      <c r="KI48" s="2089">
        <f>'J - Capital In Year Schemes'!S48</f>
        <v>942.21911999999998</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100">
        <f>'K - Capital Disposals'!J48</f>
        <v>0</v>
      </c>
      <c r="KW48" s="3095"/>
      <c r="KX48" s="3095"/>
      <c r="KY48" s="3095"/>
      <c r="KZ48" s="3095"/>
      <c r="LA48" s="3095"/>
      <c r="LB48" s="3096"/>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019">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49999999999999"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1.6370904631912708E-11</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1639.5</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30406</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142.35594</v>
      </c>
      <c r="JU49" s="2009">
        <f>'J - Capital In Year Schemes'!E49</f>
        <v>142.35594</v>
      </c>
      <c r="JV49" s="2009">
        <f>'J - Capital In Year Schemes'!F49</f>
        <v>0</v>
      </c>
      <c r="JW49" s="2009">
        <f>'J - Capital In Year Schemes'!G49</f>
        <v>0</v>
      </c>
      <c r="JX49" s="2009">
        <f>'J - Capital In Year Schemes'!H49</f>
        <v>0</v>
      </c>
      <c r="JY49" s="2009">
        <f>'J - Capital In Year Schemes'!I49</f>
        <v>0</v>
      </c>
      <c r="JZ49" s="2009">
        <f>'J - Capital In Year Schemes'!J49</f>
        <v>32.7072</v>
      </c>
      <c r="KA49" s="2009">
        <f>'J - Capital In Year Schemes'!K49</f>
        <v>61.893160000000002</v>
      </c>
      <c r="KB49" s="2009">
        <f>'J - Capital In Year Schemes'!L49</f>
        <v>4.38</v>
      </c>
      <c r="KC49" s="2009">
        <f>'J - Capital In Year Schemes'!M49</f>
        <v>19.136599999999998</v>
      </c>
      <c r="KD49" s="2009">
        <f>'J - Capital In Year Schemes'!N49</f>
        <v>10.586200000000002</v>
      </c>
      <c r="KE49" s="2009">
        <f>'J - Capital In Year Schemes'!O49</f>
        <v>-0.624</v>
      </c>
      <c r="KF49" s="2009">
        <f>'J - Capital In Year Schemes'!P49</f>
        <v>6.2071999999999994</v>
      </c>
      <c r="KG49" s="2009">
        <f>'J - Capital In Year Schemes'!Q49</f>
        <v>8</v>
      </c>
      <c r="KH49" s="2089">
        <f>'J - Capital In Year Schemes'!R49</f>
        <v>134.28636</v>
      </c>
      <c r="KI49" s="2089">
        <f>'J - Capital In Year Schemes'!S49</f>
        <v>142.28636</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100">
        <f>'K - Capital Disposals'!J49</f>
        <v>0</v>
      </c>
      <c r="KW49" s="3095"/>
      <c r="KX49" s="3095"/>
      <c r="KY49" s="3095"/>
      <c r="KZ49" s="3095"/>
      <c r="LA49" s="3095"/>
      <c r="LB49" s="3096"/>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019">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49999999999999" customHeight="1" thickBot="1">
      <c r="M50" s="949">
        <f>'A - Movement'!A50</f>
        <v>40</v>
      </c>
      <c r="N50" s="952" t="str">
        <f>'A - Movement'!B50</f>
        <v>Forecast Outturn (- Deficit / + Surplus)</v>
      </c>
      <c r="O50" s="950">
        <f>'A - Movement'!C50</f>
        <v>1.6370904631912708E-11</v>
      </c>
      <c r="P50" s="950">
        <f>'A - Movement'!D50</f>
        <v>1.6370904631912708E-11</v>
      </c>
      <c r="Q50" s="950">
        <f>'A - Movement'!E50</f>
        <v>0</v>
      </c>
      <c r="R50" s="950">
        <f>'A - Movement'!F50</f>
        <v>0</v>
      </c>
      <c r="S50" s="1744"/>
      <c r="U50" s="951">
        <f>'A - Movement'!I50</f>
        <v>40</v>
      </c>
      <c r="V50" s="952" t="str">
        <f t="shared" si="8"/>
        <v>Forecast Outturn (- Deficit / + Surplus)</v>
      </c>
      <c r="W50" s="950">
        <f>'A - Movement'!J50</f>
        <v>49.999999999999886</v>
      </c>
      <c r="X50" s="950">
        <f>'A - Movement'!K50</f>
        <v>2.0000000000001421</v>
      </c>
      <c r="Y50" s="950">
        <f>'A - Movement'!L50</f>
        <v>11.000000000000114</v>
      </c>
      <c r="Z50" s="950">
        <f>'A - Movement'!M50</f>
        <v>94.000000000000369</v>
      </c>
      <c r="AA50" s="950">
        <f>'A - Movement'!N50</f>
        <v>-146.99999999999963</v>
      </c>
      <c r="AB50" s="950">
        <f>'A - Movement'!O50</f>
        <v>113.99999999999989</v>
      </c>
      <c r="AC50" s="950">
        <f>'A - Movement'!P50</f>
        <v>-4.0000000000000853</v>
      </c>
      <c r="AD50" s="950">
        <f>'A - Movement'!Q50</f>
        <v>-107.99999999999943</v>
      </c>
      <c r="AE50" s="950">
        <f>'A - Movement'!R50</f>
        <v>8.0000000000001137</v>
      </c>
      <c r="AF50" s="950">
        <f>'A - Movement'!S50</f>
        <v>45.999999999999886</v>
      </c>
      <c r="AG50" s="950">
        <f>'A - Movement'!T50</f>
        <v>39.000000000000114</v>
      </c>
      <c r="AH50" s="950">
        <f>'A - Movement'!U50</f>
        <v>-105.00000000000034</v>
      </c>
      <c r="AI50" s="950">
        <f>'A - Movement'!V50</f>
        <v>105.00000000000136</v>
      </c>
      <c r="AJ50" s="950">
        <f>'A - Movement'!W50</f>
        <v>1.0231815394945443E-12</v>
      </c>
      <c r="AK50" s="950">
        <f t="shared" si="12"/>
        <v>1.6370904631912708E-11</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1639.5</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100">
        <f>'K - Capital Disposals'!J50</f>
        <v>0</v>
      </c>
      <c r="KW50" s="3095"/>
      <c r="KX50" s="3095"/>
      <c r="KY50" s="3095"/>
      <c r="KZ50" s="3095"/>
      <c r="LA50" s="3095"/>
      <c r="LB50" s="3096"/>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126" t="str">
        <f>'N - GMS'!A50</f>
        <v/>
      </c>
      <c r="LY50" s="3127"/>
      <c r="LZ50" s="3127"/>
      <c r="MA50" s="3109" t="str">
        <f>'N - GMS'!D50</f>
        <v/>
      </c>
      <c r="MB50" s="3109"/>
      <c r="MC50" s="3109"/>
      <c r="MD50" s="3109"/>
      <c r="ME50" s="3109"/>
      <c r="MF50" s="3109"/>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018"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49999999999999"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521.00000000001637</v>
      </c>
      <c r="BC51" s="1154">
        <f>'A2 - Risks'!D51</f>
        <v>0</v>
      </c>
      <c r="BE51" s="2232">
        <f>'B - Monthly Positions'!A51</f>
        <v>36</v>
      </c>
      <c r="BF51" s="1372" t="str">
        <f>'B - Monthly Positions'!B51</f>
        <v>Specialised Services</v>
      </c>
      <c r="BG51" s="93" t="str">
        <f>'B - Monthly Positions'!C51</f>
        <v>Actual/F'cast</v>
      </c>
      <c r="BH51" s="3004">
        <f>'B - Monthly Positions'!D51</f>
        <v>207972.16074666666</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43"/>
      <c r="EA51" s="3044"/>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46"/>
      <c r="EO51" s="3048"/>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78.971929999999986</v>
      </c>
      <c r="JU51" s="2009">
        <f>'J - Capital In Year Schemes'!E51</f>
        <v>78.971929999999986</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-0.216</v>
      </c>
      <c r="KB51" s="2009">
        <f>'J - Capital In Year Schemes'!L51</f>
        <v>3.9605999999999999</v>
      </c>
      <c r="KC51" s="2009">
        <f>'J - Capital In Year Schemes'!M51</f>
        <v>3</v>
      </c>
      <c r="KD51" s="2009">
        <f>'J - Capital In Year Schemes'!N51</f>
        <v>0</v>
      </c>
      <c r="KE51" s="2009">
        <f>'J - Capital In Year Schemes'!O51</f>
        <v>14.976000000000001</v>
      </c>
      <c r="KF51" s="2009">
        <f>'J - Capital In Year Schemes'!P51</f>
        <v>0</v>
      </c>
      <c r="KG51" s="2009">
        <f>'J - Capital In Year Schemes'!Q51</f>
        <v>45</v>
      </c>
      <c r="KH51" s="2089">
        <f>'J - Capital In Year Schemes'!R51</f>
        <v>33.880600000000001</v>
      </c>
      <c r="KI51" s="2089">
        <f>'J - Capital In Year Schemes'!S51</f>
        <v>78.880600000000001</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100">
        <f>'K - Capital Disposals'!J51</f>
        <v>0</v>
      </c>
      <c r="KW51" s="3095"/>
      <c r="KX51" s="3095"/>
      <c r="KY51" s="3095"/>
      <c r="KZ51" s="3095"/>
      <c r="LA51" s="3095"/>
      <c r="LB51" s="3096"/>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126" t="str">
        <f>'N - GMS'!A51</f>
        <v/>
      </c>
      <c r="LY51" s="3127"/>
      <c r="LZ51" s="3127"/>
      <c r="MA51" s="3109"/>
      <c r="MB51" s="3109"/>
      <c r="MC51" s="3109"/>
      <c r="MD51" s="3109"/>
      <c r="ME51" s="3109"/>
      <c r="MF51" s="3109"/>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019">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49999999999999" customHeight="1" thickBot="1">
      <c r="M52" s="949">
        <f>'A - Movement'!A52</f>
        <v>41</v>
      </c>
      <c r="N52" s="2481" t="str">
        <f>'A - Movement'!B52</f>
        <v>Covid-19 - Forecast Outturn (- Deficit / + Surplus)</v>
      </c>
      <c r="O52" s="950">
        <f>'A - Movement'!C52</f>
        <v>0</v>
      </c>
      <c r="P52" s="71"/>
      <c r="Q52" s="71"/>
      <c r="R52" s="71"/>
      <c r="S52" s="1744"/>
      <c r="U52" s="951">
        <f>'A - Movement'!I52</f>
        <v>41</v>
      </c>
      <c r="V52" s="2481" t="str">
        <f>N52</f>
        <v>Covid-19 - Forecast Outturn (- Deficit / + Surplus)</v>
      </c>
      <c r="W52" s="950">
        <f>'A - Movement'!J52</f>
        <v>0</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0</v>
      </c>
      <c r="AJ52" s="950">
        <f>O52</f>
        <v>0</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2776</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304</v>
      </c>
      <c r="CV52" s="1768">
        <f>'B2 - Pay &amp; Agency'!H52</f>
        <v>197</v>
      </c>
      <c r="CW52" s="1768">
        <f>'B2 - Pay &amp; Agency'!I52</f>
        <v>103</v>
      </c>
      <c r="CX52" s="1768">
        <f>'B2 - Pay &amp; Agency'!J52</f>
        <v>168</v>
      </c>
      <c r="CY52" s="1768">
        <f>'B2 - Pay &amp; Agency'!K52</f>
        <v>106</v>
      </c>
      <c r="CZ52" s="1768">
        <f>'B2 - Pay &amp; Agency'!L52</f>
        <v>225</v>
      </c>
      <c r="DA52" s="1768">
        <f>'B2 - Pay &amp; Agency'!M52</f>
        <v>429</v>
      </c>
      <c r="DB52" s="1769">
        <f>'B2 - Pay &amp; Agency'!N52</f>
        <v>242.09090909090909</v>
      </c>
      <c r="DC52" s="1131">
        <f>'B2 - Pay &amp; Agency'!O52</f>
        <v>2663</v>
      </c>
      <c r="DD52" s="1322">
        <f>'B2 - Pay &amp; Agency'!P52</f>
        <v>2905.090909090909</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94.057410000000004</v>
      </c>
      <c r="JU52" s="2051">
        <f>'J - Capital In Year Schemes'!E52</f>
        <v>94.057410000000004</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0</v>
      </c>
      <c r="KD52" s="2051">
        <f>'J - Capital In Year Schemes'!N52</f>
        <v>0</v>
      </c>
      <c r="KE52" s="2051">
        <f>'J - Capital In Year Schemes'!O52</f>
        <v>0.4</v>
      </c>
      <c r="KF52" s="2051">
        <f>'J - Capital In Year Schemes'!P52</f>
        <v>0</v>
      </c>
      <c r="KG52" s="2051">
        <f>'J - Capital In Year Schemes'!Q52</f>
        <v>93.5</v>
      </c>
      <c r="KH52" s="2074">
        <f>'J - Capital In Year Schemes'!R52</f>
        <v>0.18059</v>
      </c>
      <c r="KI52" s="2074">
        <f>'J - Capital In Year Schemes'!S52</f>
        <v>93.680589999999995</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100">
        <f>'K - Capital Disposals'!J52</f>
        <v>0</v>
      </c>
      <c r="KW52" s="3095"/>
      <c r="KX52" s="3095"/>
      <c r="KY52" s="3095"/>
      <c r="KZ52" s="3095"/>
      <c r="LA52" s="3095"/>
      <c r="LB52" s="3096"/>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128"/>
      <c r="MC52" s="3128"/>
      <c r="MD52" s="3128"/>
      <c r="ME52" s="3128"/>
      <c r="MF52" s="3128"/>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019">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49999999999999"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14604</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6</v>
      </c>
      <c r="CV53" s="1776">
        <f>'B2 - Pay &amp; Agency'!H53</f>
        <v>6</v>
      </c>
      <c r="CW53" s="1776">
        <f>'B2 - Pay &amp; Agency'!I53</f>
        <v>6</v>
      </c>
      <c r="CX53" s="1776">
        <f>'B2 - Pay &amp; Agency'!J53</f>
        <v>6</v>
      </c>
      <c r="CY53" s="1776">
        <f>'B2 - Pay &amp; Agency'!K53</f>
        <v>6</v>
      </c>
      <c r="CZ53" s="1776">
        <f>'B2 - Pay &amp; Agency'!L53</f>
        <v>6</v>
      </c>
      <c r="DA53" s="1776">
        <f>'B2 - Pay &amp; Agency'!M53</f>
        <v>6.4</v>
      </c>
      <c r="DB53" s="1777">
        <f>'B2 - Pay &amp; Agency'!N53</f>
        <v>6.4</v>
      </c>
      <c r="DC53" s="1323">
        <f>'B2 - Pay &amp; Agency'!O53</f>
        <v>70.400000000000006</v>
      </c>
      <c r="DD53" s="1324">
        <f>'B2 - Pay &amp; Agency'!P53</f>
        <v>76.800000000000011</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29.36364</v>
      </c>
      <c r="DM53" s="1902">
        <f>'B3 - COVID-19'!H53</f>
        <v>26.074489999999997</v>
      </c>
      <c r="DN53" s="1902">
        <f>'B3 - COVID-19'!I53</f>
        <v>27.66</v>
      </c>
      <c r="DO53" s="1902">
        <f>'B3 - COVID-19'!J53</f>
        <v>22.743099999999998</v>
      </c>
      <c r="DP53" s="1902">
        <f>'B3 - COVID-19'!K53</f>
        <v>22.818529999999999</v>
      </c>
      <c r="DQ53" s="1902">
        <f>'B3 - COVID-19'!L53</f>
        <v>22.696940000000001</v>
      </c>
      <c r="DR53" s="1902">
        <f>'B3 - COVID-19'!M53</f>
        <v>19.725239999999999</v>
      </c>
      <c r="DS53" s="1902">
        <f>'B3 - COVID-19'!N53</f>
        <v>19.537646666666667</v>
      </c>
      <c r="DT53" s="1862">
        <f>'B3 - COVID-19'!O53</f>
        <v>368.17122000000001</v>
      </c>
      <c r="DU53" s="1862">
        <f>'B3 - COVID-19'!P53</f>
        <v>387.70886666666667</v>
      </c>
      <c r="DV53" s="608"/>
      <c r="DW53" s="1115"/>
      <c r="DY53" s="2110">
        <f>'C, C1, C2&amp; C3 - Savings Schemes'!A53</f>
        <v>1</v>
      </c>
      <c r="DZ53" s="303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8652.1980000000003</v>
      </c>
      <c r="GW53" s="2525">
        <f>'E1 - Invoiced Income'!D53</f>
        <v>1991.6659999999999</v>
      </c>
      <c r="GX53" s="2528">
        <f>'E1 - Invoiced Income'!E53</f>
        <v>10643.864</v>
      </c>
      <c r="GY53" s="2525">
        <f>'E1 - Invoiced Income'!F53</f>
        <v>0</v>
      </c>
      <c r="GZ53" s="2525" t="str">
        <f>'E1 - Invoiced Income'!G53</f>
        <v>Entered in P01 - Invoices raised for P01 - P10</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1256.9995199999998</v>
      </c>
      <c r="JU53" s="2036">
        <f>'J - Capital In Year Schemes'!E53</f>
        <v>1256.9995199999998</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33.7072</v>
      </c>
      <c r="KA53" s="2036">
        <f>'J - Capital In Year Schemes'!K53</f>
        <v>61.677160000000001</v>
      </c>
      <c r="KB53" s="2036">
        <f>'J - Capital In Year Schemes'!L53</f>
        <v>8.3406000000000002</v>
      </c>
      <c r="KC53" s="2036">
        <f>'J - Capital In Year Schemes'!M53</f>
        <v>35.779399999999995</v>
      </c>
      <c r="KD53" s="2036">
        <f>'J - Capital In Year Schemes'!N53</f>
        <v>207.79462000000001</v>
      </c>
      <c r="KE53" s="2036">
        <f>'J - Capital In Year Schemes'!O53</f>
        <v>181.84280000000001</v>
      </c>
      <c r="KF53" s="2036">
        <f>'J - Capital In Year Schemes'!P53</f>
        <v>212.84395000000001</v>
      </c>
      <c r="KG53" s="2036">
        <f>'J - Capital In Year Schemes'!Q53</f>
        <v>498.5</v>
      </c>
      <c r="KH53" s="2036">
        <f>'J - Capital In Year Schemes'!R53</f>
        <v>758.56667000000004</v>
      </c>
      <c r="KI53" s="2036">
        <f>'J - Capital In Year Schemes'!S53</f>
        <v>1257.0666699999999</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100">
        <f>'K - Capital Disposals'!J53</f>
        <v>0</v>
      </c>
      <c r="KW53" s="3095"/>
      <c r="KX53" s="3095"/>
      <c r="KY53" s="3095"/>
      <c r="KZ53" s="3095"/>
      <c r="LA53" s="3095"/>
      <c r="LB53" s="3096"/>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020">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49999999999999" customHeight="1" thickBot="1">
      <c r="M54" s="949">
        <f>'A - Movement'!A54</f>
        <v>42</v>
      </c>
      <c r="N54" s="2481" t="str">
        <f>'A - Movement'!B54</f>
        <v>Operational - Forecast Outturn (- Deficit / + Surplus)</v>
      </c>
      <c r="O54" s="950">
        <f>'A - Movement'!C54</f>
        <v>1.6370904631912708E-11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-146.99999999999963</v>
      </c>
      <c r="AB54" s="950">
        <f>'A - Movement'!O54</f>
        <v>113.99999999999989</v>
      </c>
      <c r="AC54" s="950">
        <f>'A - Movement'!P54</f>
        <v>-4.0000000000000853</v>
      </c>
      <c r="AD54" s="950">
        <f>'A - Movement'!Q54</f>
        <v>-107.99999999999943</v>
      </c>
      <c r="AE54" s="950">
        <f>'A - Movement'!R54</f>
        <v>8.0000000000001137</v>
      </c>
      <c r="AF54" s="950">
        <f>'A - Movement'!S54</f>
        <v>45.999999999999886</v>
      </c>
      <c r="AG54" s="950">
        <f>'A - Movement'!T54</f>
        <v>39.000000000000114</v>
      </c>
      <c r="AH54" s="950">
        <f>'A - Movement'!U54</f>
        <v>-105.00000000000034</v>
      </c>
      <c r="AI54" s="950">
        <f>'A - Movement'!V54</f>
        <v>105.00000000000136</v>
      </c>
      <c r="AJ54" s="950">
        <f>O54</f>
        <v>1.6370904631912708E-11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3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983.15800000000002</v>
      </c>
      <c r="GW54" s="2526">
        <f>'E1 - Invoiced Income'!D54</f>
        <v>253.94499999999999</v>
      </c>
      <c r="GX54" s="196">
        <f>'E1 - Invoiced Income'!E54</f>
        <v>1237.1030000000001</v>
      </c>
      <c r="GY54" s="2526">
        <f>'E1 - Invoiced Income'!F54</f>
        <v>0</v>
      </c>
      <c r="GZ54" s="2526" t="str">
        <f>'E1 - Invoiced Income'!G54</f>
        <v>Entered in P01 - Invoices raised for P01 - P10</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Feb 24</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100">
        <f>'K - Capital Disposals'!J54</f>
        <v>0</v>
      </c>
      <c r="KW54" s="3095"/>
      <c r="KX54" s="3095"/>
      <c r="KY54" s="3095"/>
      <c r="KZ54" s="3095"/>
      <c r="LA54" s="3095"/>
      <c r="LB54" s="3096"/>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49999999999999" customHeight="1" thickBot="1">
      <c r="AN55" s="1744"/>
      <c r="BE55" s="2232">
        <f>'B - Monthly Positions'!A55</f>
        <v>40</v>
      </c>
      <c r="BF55" s="2617" t="str">
        <f>'B - Monthly Positions'!B55</f>
        <v>Cost - Total (Excluding DEL &amp; AME Non-Cash Charges)</v>
      </c>
      <c r="BG55" s="1075" t="s">
        <v>288</v>
      </c>
      <c r="BH55" s="1100">
        <f>'B - Monthly Positions'!D55</f>
        <v>225352.16074666666</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15.32296</v>
      </c>
      <c r="DM55" s="1902">
        <f>'B3 - COVID-19'!H55</f>
        <v>13.60045</v>
      </c>
      <c r="DN55" s="1902">
        <f>'B3 - COVID-19'!I55</f>
        <v>13.639560000000001</v>
      </c>
      <c r="DO55" s="1902">
        <f>'B3 - COVID-19'!J55</f>
        <v>30.933430000000001</v>
      </c>
      <c r="DP55" s="1902">
        <f>'B3 - COVID-19'!K55</f>
        <v>21.524089999999998</v>
      </c>
      <c r="DQ55" s="1902">
        <f>'B3 - COVID-19'!L55</f>
        <v>22.000129999999999</v>
      </c>
      <c r="DR55" s="1902">
        <f>'B3 - COVID-19'!M55</f>
        <v>22.000129999999999</v>
      </c>
      <c r="DS55" s="1902">
        <f>'B3 - COVID-19'!N55</f>
        <v>22.35308666666667</v>
      </c>
      <c r="DT55" s="1862">
        <f>'B3 - COVID-19'!O55</f>
        <v>139.02074999999999</v>
      </c>
      <c r="DU55" s="1862">
        <f>'B3 - COVID-19'!P55</f>
        <v>161.37383666666665</v>
      </c>
      <c r="DV55" s="608"/>
      <c r="DW55" s="1115"/>
      <c r="DY55" s="2094">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5053</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49999999999999"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049"/>
      <c r="BZ56" s="3050"/>
      <c r="CA56" s="3050"/>
      <c r="CB56" s="3050"/>
      <c r="CC56" s="3050"/>
      <c r="CD56" s="3050"/>
      <c r="CE56" s="3050"/>
      <c r="CF56" s="3050"/>
      <c r="CG56" s="3050"/>
      <c r="CH56" s="3050"/>
      <c r="CI56" s="3050"/>
      <c r="CJ56" s="3050"/>
      <c r="CK56" s="3050"/>
      <c r="CL56" s="3050"/>
      <c r="CM56" s="3050"/>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3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626.08333333333326</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926</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t="str">
        <f>'J - Capital In Year Schemes'!B56</f>
        <v>IFRS 16 Leases 2023-24 – Tranche 2</v>
      </c>
      <c r="JS56" s="2125" t="str">
        <f>'J - Capital In Year Schemes'!C56</f>
        <v>Neil Desmond</v>
      </c>
      <c r="JT56" s="2324">
        <f>'J - Capital In Year Schemes'!D56</f>
        <v>777</v>
      </c>
      <c r="JU56" s="2009">
        <f>'J - Capital In Year Schemes'!E56</f>
        <v>777</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777</v>
      </c>
      <c r="KG56" s="2009">
        <f>'J - Capital In Year Schemes'!Q56</f>
        <v>0</v>
      </c>
      <c r="KH56" s="2089">
        <f>'J - Capital In Year Schemes'!R56</f>
        <v>777</v>
      </c>
      <c r="KI56" s="2089">
        <f>'J - Capital In Year Schemes'!S56</f>
        <v>777</v>
      </c>
      <c r="KJ56" s="2090" t="str">
        <f>'J - Capital In Year Schemes'!T56</f>
        <v>Low</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49999999999999"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-1639.5</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3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626.08333333333326</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6" t="str">
        <f>'P - Ringfenced'!R57</f>
        <v>Total</v>
      </c>
      <c r="NJ57" s="2667" t="str">
        <f>'P - Ringfenced'!S57</f>
        <v>Total</v>
      </c>
      <c r="NK57" s="683"/>
      <c r="NL57" s="683"/>
    </row>
    <row r="58" spans="13:376" ht="20.149999999999999"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-1639.5</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157</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22">
        <f>'P - Ringfenced'!D58</f>
        <v>0</v>
      </c>
      <c r="MV58" s="3022">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49999999999999"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17.830590000000001</v>
      </c>
      <c r="DM59" s="1902">
        <f>'B3 - COVID-19'!H59</f>
        <v>10.368669999999998</v>
      </c>
      <c r="DN59" s="1902">
        <f>'B3 - COVID-19'!I59</f>
        <v>12.288819999999999</v>
      </c>
      <c r="DO59" s="1902">
        <f>'B3 - COVID-19'!J59</f>
        <v>27.052419999999998</v>
      </c>
      <c r="DP59" s="1902">
        <f>'B3 - COVID-19'!K59</f>
        <v>20.64396</v>
      </c>
      <c r="DQ59" s="1902">
        <f>'B3 - COVID-19'!L59</f>
        <v>20.485279999999999</v>
      </c>
      <c r="DR59" s="1902">
        <f>'B3 - COVID-19'!M59</f>
        <v>20.414750000000002</v>
      </c>
      <c r="DS59" s="1902">
        <f>'B3 - COVID-19'!N59</f>
        <v>20.414576666666669</v>
      </c>
      <c r="DT59" s="1862">
        <f>'B3 - COVID-19'!O59</f>
        <v>206.90216999999998</v>
      </c>
      <c r="DU59" s="1862">
        <f>'B3 - COVID-19'!P59</f>
        <v>227.31674666666666</v>
      </c>
      <c r="DV59" s="608"/>
      <c r="DW59" s="1115"/>
      <c r="DY59" s="2078">
        <f>'C, C1, C2&amp; C3 - Savings Schemes'!A59</f>
        <v>7</v>
      </c>
      <c r="DZ59" s="303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1320</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49999999999999"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3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528.51481000000001</v>
      </c>
      <c r="JG60" s="2036">
        <f>'I - Capital RLM'!D60</f>
        <v>528.51481000000001</v>
      </c>
      <c r="JH60" s="2036">
        <f>'I - Capital RLM'!E60</f>
        <v>0</v>
      </c>
      <c r="JI60" s="2118">
        <f>'I - Capital RLM'!F60</f>
        <v>0</v>
      </c>
      <c r="JJ60" s="2036">
        <f>'I - Capital RLM'!G60</f>
        <v>1411</v>
      </c>
      <c r="JK60" s="2036">
        <f>'I - Capital RLM'!H60</f>
        <v>1410.1972799999999</v>
      </c>
      <c r="JL60" s="2036">
        <f>'I - Capital RLM'!I60</f>
        <v>-0.80271999999995813</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49999999999999" customHeight="1" thickBot="1">
      <c r="BE61" s="1986"/>
      <c r="BF61" s="2253"/>
      <c r="BG61" s="1998" t="str">
        <f>'B - Monthly Positions'!C60</f>
        <v>28 . Actual YTD surplus/ (deficit)</v>
      </c>
      <c r="BH61" s="2249"/>
      <c r="BI61" s="2254">
        <f>'B - Monthly Positions'!E60</f>
        <v>105</v>
      </c>
      <c r="BJ61" s="2049"/>
      <c r="BK61" s="2255"/>
      <c r="BL61" s="2256" t="str">
        <f>'B - Monthly Positions'!H60</f>
        <v>33. Extrapolated Scenario</v>
      </c>
      <c r="BM61" s="2257"/>
      <c r="BN61" s="2257"/>
      <c r="BO61" s="2254">
        <f>'B - Monthly Positions'!K60</f>
        <v>143.99999999998909</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338</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49999999999999" customHeight="1" thickBot="1">
      <c r="BE62" s="1986"/>
      <c r="BF62" s="2274"/>
      <c r="BG62" s="1998" t="str">
        <f>'B - Monthly Positions'!C61</f>
        <v>29. Actual YTD surplus/ (deficit) last month</v>
      </c>
      <c r="BH62" s="2249"/>
      <c r="BI62" s="2275">
        <f>'B - Monthly Positions'!E61</f>
        <v>66.000000000010914</v>
      </c>
      <c r="BJ62" s="2276"/>
      <c r="BK62" s="2249"/>
      <c r="BL62" s="2277" t="str">
        <f>'B - Monthly Positions'!H61</f>
        <v>34. Year to Date Trend Scenario</v>
      </c>
      <c r="BM62" s="2278"/>
      <c r="BN62" s="2278"/>
      <c r="BO62" s="2279">
        <f>'B - Monthly Positions'!K61</f>
        <v>114.54545454545453</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62.517189999999999</v>
      </c>
      <c r="DM62" s="1907">
        <f>'B3 - COVID-19'!H62</f>
        <v>50.043610000000001</v>
      </c>
      <c r="DN62" s="1907">
        <f>'B3 - COVID-19'!I62</f>
        <v>53.588380000000001</v>
      </c>
      <c r="DO62" s="1907">
        <f>'B3 - COVID-19'!J62</f>
        <v>80.728949999999998</v>
      </c>
      <c r="DP62" s="1907">
        <f>'B3 - COVID-19'!K62</f>
        <v>64.986580000000004</v>
      </c>
      <c r="DQ62" s="1907">
        <f>'B3 - COVID-19'!L62</f>
        <v>65.18235</v>
      </c>
      <c r="DR62" s="1907">
        <f>'B3 - COVID-19'!M62</f>
        <v>62.140119999999996</v>
      </c>
      <c r="DS62" s="1907">
        <f>'B3 - COVID-19'!N62</f>
        <v>62.305310000000006</v>
      </c>
      <c r="DT62" s="1907">
        <f>'B3 - COVID-19'!O62</f>
        <v>714.09413999999992</v>
      </c>
      <c r="DU62" s="1907">
        <f>'B3 - COVID-19'!P62</f>
        <v>776.39944999999989</v>
      </c>
      <c r="DV62" s="1143"/>
      <c r="DW62" s="1115"/>
      <c r="DY62" s="2110">
        <f>'C, C1, C2&amp; C3 - Savings Schemes'!A62</f>
        <v>10</v>
      </c>
      <c r="DZ62" s="303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49999999999999" customHeight="1" thickTop="1" thickBot="1">
      <c r="BE63" s="1929"/>
      <c r="BF63" s="2274"/>
      <c r="BG63" s="1998" t="str">
        <f>'B - Monthly Positions'!C62</f>
        <v>30. Current month actual surplus/ (deficit)</v>
      </c>
      <c r="BH63" s="2284"/>
      <c r="BI63" s="2254">
        <f>'B - Monthly Positions'!E62</f>
        <v>38.999999999989086</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066"/>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49999999999999"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7885</v>
      </c>
      <c r="HS64" s="2036">
        <f>'F - SoFP'!E64</f>
        <v>7564</v>
      </c>
      <c r="HT64" s="2351">
        <f t="shared" si="19"/>
        <v>0</v>
      </c>
      <c r="JD64" s="2087">
        <f>'I - Capital RLM'!A64</f>
        <v>43</v>
      </c>
      <c r="JE64" s="2392" t="str">
        <f>'I - Capital RLM'!B64</f>
        <v>I.T.</v>
      </c>
      <c r="JF64" s="2009">
        <f>'I - Capital RLM'!C64</f>
        <v>590.21911999999998</v>
      </c>
      <c r="JG64" s="2009">
        <f>'I - Capital RLM'!D64</f>
        <v>590.21911999999998</v>
      </c>
      <c r="JH64" s="2117">
        <f>'I - Capital RLM'!E64</f>
        <v>0</v>
      </c>
      <c r="JI64" s="1942">
        <f>'I - Capital RLM'!F64</f>
        <v>0</v>
      </c>
      <c r="JJ64" s="2009">
        <f>'I - Capital RLM'!G64</f>
        <v>941.61424</v>
      </c>
      <c r="JK64" s="2009">
        <f>'I - Capital RLM'!H64</f>
        <v>941.61424</v>
      </c>
      <c r="JL64" s="2117">
        <f>'I - Capital RLM'!I64</f>
        <v>0</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129" t="str">
        <f>'N - GMS'!A64</f>
        <v/>
      </c>
      <c r="LY64" s="3129"/>
      <c r="LZ64" s="3129"/>
      <c r="MA64" s="3109" t="str">
        <f>'N - GMS'!D64</f>
        <v/>
      </c>
      <c r="MB64" s="3109"/>
      <c r="MC64" s="3109"/>
      <c r="MD64" s="3109"/>
      <c r="ME64" s="3109"/>
      <c r="MF64" s="3109"/>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49999999999999" customHeight="1" thickBot="1">
      <c r="BE65" s="1929"/>
      <c r="BF65" s="2274"/>
      <c r="BG65" s="1998" t="str">
        <f>'B - Monthly Positions'!C64</f>
        <v>31. Average monthly surplus/ (deficit) YTD</v>
      </c>
      <c r="BH65" s="1929"/>
      <c r="BI65" s="2254">
        <f>'B - Monthly Positions'!E64</f>
        <v>9.545454545454545</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310</v>
      </c>
      <c r="CV65" s="1341">
        <f>'B2 - Pay &amp; Agency'!H65</f>
        <v>203</v>
      </c>
      <c r="CW65" s="1341">
        <f>'B2 - Pay &amp; Agency'!I65</f>
        <v>109</v>
      </c>
      <c r="CX65" s="1341">
        <f>'B2 - Pay &amp; Agency'!J65</f>
        <v>174</v>
      </c>
      <c r="CY65" s="1341">
        <f>'B2 - Pay &amp; Agency'!K65</f>
        <v>112</v>
      </c>
      <c r="CZ65" s="1341">
        <f>'B2 - Pay &amp; Agency'!L65</f>
        <v>231</v>
      </c>
      <c r="DA65" s="1341">
        <f>'B2 - Pay &amp; Agency'!M65</f>
        <v>435.4</v>
      </c>
      <c r="DB65" s="1342">
        <f>'B2 - Pay &amp; Agency'!N65</f>
        <v>248.4909090909091</v>
      </c>
      <c r="DC65" s="1343">
        <f>'B2 - Pay &amp; Agency'!O65</f>
        <v>2733.4</v>
      </c>
      <c r="DD65" s="1344">
        <f>'B2 - Pay &amp; Agency'!P65</f>
        <v>2981.8909090909092</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3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134.28635999999997</v>
      </c>
      <c r="JG65" s="2009">
        <f>'I - Capital RLM'!D65</f>
        <v>134.28635999999997</v>
      </c>
      <c r="JH65" s="2117">
        <f>'I - Capital RLM'!E65</f>
        <v>0</v>
      </c>
      <c r="JI65" s="1942">
        <f>'I - Capital RLM'!F65</f>
        <v>0</v>
      </c>
      <c r="JJ65" s="2009">
        <f>'I - Capital RLM'!G65</f>
        <v>142.35594</v>
      </c>
      <c r="JK65" s="2009">
        <f>'I - Capital RLM'!H65</f>
        <v>142.35594</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130" t="str">
        <f>'N - GMS'!A65</f>
        <v/>
      </c>
      <c r="LY65" s="3130"/>
      <c r="LZ65" s="3130"/>
      <c r="MA65" s="3109" t="str">
        <f>'N - GMS'!D65</f>
        <v/>
      </c>
      <c r="MB65" s="3109"/>
      <c r="MC65" s="3109"/>
      <c r="MD65" s="3109"/>
      <c r="ME65" s="3109"/>
      <c r="MF65" s="3109"/>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49999999999999" customHeight="1" thickBot="1">
      <c r="BE66" s="1929"/>
      <c r="BF66" s="2274"/>
      <c r="BG66" s="2311" t="str">
        <f>'B - Monthly Positions'!C65</f>
        <v>32. YTD /remaining months</v>
      </c>
      <c r="BH66" s="2312"/>
      <c r="BI66" s="2279">
        <f>'B - Monthly Positions'!E65</f>
        <v>105</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31.843490000000003</v>
      </c>
      <c r="DM66" s="1329">
        <f>'B3 - COVID-19'!H66</f>
        <v>39.321489999999997</v>
      </c>
      <c r="DN66" s="1329">
        <f>'B3 - COVID-19'!I66</f>
        <v>79.552019999999999</v>
      </c>
      <c r="DO66" s="1329">
        <f>'B3 - COVID-19'!J66</f>
        <v>-44.027630000000002</v>
      </c>
      <c r="DP66" s="1329">
        <f>'B3 - COVID-19'!K66</f>
        <v>8.6507000000000005</v>
      </c>
      <c r="DQ66" s="1329">
        <f>'B3 - COVID-19'!L66</f>
        <v>94.361809999999991</v>
      </c>
      <c r="DR66" s="1329">
        <f>'B3 - COVID-19'!M66</f>
        <v>22.424299999999999</v>
      </c>
      <c r="DS66" s="1329">
        <f>'B3 - COVID-19'!N66</f>
        <v>107.075</v>
      </c>
      <c r="DT66" s="1862">
        <f>'B3 - COVID-19'!O66</f>
        <v>353.62815999999998</v>
      </c>
      <c r="DU66" s="1862">
        <f>'B3 - COVID-19'!P66</f>
        <v>460.70315999999997</v>
      </c>
      <c r="DV66" s="608"/>
      <c r="DW66" s="1115"/>
      <c r="DY66" s="2094">
        <f>'C, C1, C2&amp; C3 - Savings Schemes'!A66</f>
        <v>14</v>
      </c>
      <c r="DZ66" s="303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49999999999999"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2714</v>
      </c>
      <c r="HS67" s="2402"/>
      <c r="HT67" s="2351">
        <f t="shared" si="19"/>
        <v>0</v>
      </c>
      <c r="JD67" s="2087">
        <f>'I - Capital RLM'!A67</f>
        <v>46</v>
      </c>
      <c r="JE67" s="2392" t="str">
        <f>'I - Capital RLM'!B67</f>
        <v>Estates</v>
      </c>
      <c r="JF67" s="2009">
        <f>'I - Capital RLM'!C67</f>
        <v>34.176600000000001</v>
      </c>
      <c r="JG67" s="2009">
        <f>'I - Capital RLM'!D67</f>
        <v>34.176600000000001</v>
      </c>
      <c r="JH67" s="2117">
        <f>'I - Capital RLM'!E67</f>
        <v>0</v>
      </c>
      <c r="JI67" s="1942">
        <f>'I - Capital RLM'!F67</f>
        <v>0</v>
      </c>
      <c r="JJ67" s="2009">
        <f>'I - Capital RLM'!G67</f>
        <v>78.971929999999986</v>
      </c>
      <c r="JK67" s="2009">
        <f>'I - Capital RLM'!H67</f>
        <v>78.971929999999986</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114" t="str">
        <f>'N - GMS'!A67</f>
        <v>ADHD</v>
      </c>
      <c r="LY67" s="3131"/>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49999999999999"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3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131</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94.057410000000004</v>
      </c>
      <c r="JK68" s="2051">
        <f>'I - Capital RLM'!H68</f>
        <v>94.057410000000004</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114" t="str">
        <f>'N - GMS'!A68</f>
        <v xml:space="preserve">Asylum Seekers &amp; Refugees </v>
      </c>
      <c r="LY68" s="3131"/>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49999999999999"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3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0</v>
      </c>
      <c r="HS69" s="2402"/>
      <c r="HT69" s="2351"/>
      <c r="JD69" s="2300">
        <f>'I - Capital RLM'!A69</f>
        <v>48</v>
      </c>
      <c r="JE69" s="2360" t="str">
        <f>'I - Capital RLM'!B69</f>
        <v>Sub Total</v>
      </c>
      <c r="JF69" s="2036">
        <f>'I - Capital RLM'!C69</f>
        <v>758.46266999999989</v>
      </c>
      <c r="JG69" s="2036">
        <f>'I - Capital RLM'!D69</f>
        <v>758.46266999999989</v>
      </c>
      <c r="JH69" s="2036">
        <f>'I - Capital RLM'!E69</f>
        <v>0</v>
      </c>
      <c r="JI69" s="1942">
        <f>'I - Capital RLM'!F69</f>
        <v>0</v>
      </c>
      <c r="JJ69" s="2036">
        <f>'I - Capital RLM'!G69</f>
        <v>1256.9995199999998</v>
      </c>
      <c r="JK69" s="2036">
        <f>'I - Capital RLM'!H69</f>
        <v>1256.9995199999998</v>
      </c>
      <c r="JL69" s="2036">
        <f>'I - Capital RLM'!I69</f>
        <v>0</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114" t="str">
        <f>'N - GMS'!A69</f>
        <v>Cardiology</v>
      </c>
      <c r="LY69" s="3131"/>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49999999999999"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114" t="str">
        <f>'N - GMS'!A70</f>
        <v>Care Homes</v>
      </c>
      <c r="LY70" s="3131"/>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49999999999999"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1359.0833333333335</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114" t="str">
        <f>'N - GMS'!A71</f>
        <v>Care of Diabetes</v>
      </c>
      <c r="LY71" s="3132"/>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49999999999999"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3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1359.0833333333335</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1164</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114" t="str">
        <f>'N - GMS'!A72</f>
        <v>Chiropody</v>
      </c>
      <c r="LY72" s="3132"/>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49999999999999"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1364</v>
      </c>
      <c r="BM73" s="1788">
        <f>'B - Monthly Positions'!I72</f>
        <v>407.3</v>
      </c>
      <c r="BN73" s="1788">
        <f>'B - Monthly Positions'!J72</f>
        <v>407.3</v>
      </c>
      <c r="BO73" s="1788">
        <f>'B - Monthly Positions'!K72</f>
        <v>399</v>
      </c>
      <c r="BP73" s="1788">
        <f>'B - Monthly Positions'!L72</f>
        <v>400</v>
      </c>
      <c r="BQ73" s="1788">
        <f>'B - Monthly Positions'!M72</f>
        <v>399</v>
      </c>
      <c r="BR73" s="1788">
        <f>'B - Monthly Positions'!N72</f>
        <v>400.5</v>
      </c>
      <c r="BS73" s="1838">
        <f>'B - Monthly Positions'!O72</f>
        <v>419</v>
      </c>
      <c r="BT73" s="74">
        <f>'B - Monthly Positions'!P72</f>
        <v>4449.5910000000003</v>
      </c>
      <c r="BU73" s="937">
        <f>'B - Monthly Positions'!Q72</f>
        <v>4868.5910000000003</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4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45106</v>
      </c>
      <c r="HS73" s="2417">
        <f>'F - SoFP'!E73</f>
        <v>29907</v>
      </c>
      <c r="HT73" s="1945"/>
      <c r="JD73" s="2087">
        <f>'I - Capital RLM'!A73</f>
        <v>49</v>
      </c>
      <c r="JE73" s="2125" t="str">
        <f>'I - Capital RLM'!B73</f>
        <v>IFRS 16 Leases 2023-24 – Tranche 2:</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114" t="str">
        <f>'N - GMS'!A73</f>
        <v>Counselling</v>
      </c>
      <c r="LY73" s="3131"/>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49999999999999"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-843</v>
      </c>
      <c r="BM74" s="1782">
        <f>'B - Monthly Positions'!I73</f>
        <v>12.3</v>
      </c>
      <c r="BN74" s="1782">
        <f>'B - Monthly Positions'!J73</f>
        <v>12.3</v>
      </c>
      <c r="BO74" s="1782">
        <f>'B - Monthly Positions'!K73</f>
        <v>-21</v>
      </c>
      <c r="BP74" s="1782">
        <f>'B - Monthly Positions'!L73</f>
        <v>4.75</v>
      </c>
      <c r="BQ74" s="1782">
        <f>'B - Monthly Positions'!M73</f>
        <v>5</v>
      </c>
      <c r="BR74" s="1782">
        <f>'B - Monthly Positions'!N73</f>
        <v>5</v>
      </c>
      <c r="BS74" s="1785">
        <f>'B - Monthly Positions'!O73</f>
        <v>-1</v>
      </c>
      <c r="BT74" s="74">
        <f>'B - Monthly Positions'!P73</f>
        <v>80.349999999999994</v>
      </c>
      <c r="BU74" s="1066">
        <f>'B - Monthly Positions'!Q73</f>
        <v>79.349999999999994</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t="str">
        <f>'I - Capital RLM'!B74</f>
        <v>PHW IFRS 16 Leases:</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114" t="str">
        <f>'N - GMS'!A74</f>
        <v>Depo - Provera (including Implanon &amp; Nexplanon)</v>
      </c>
      <c r="LY74" s="3131"/>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49999999999999"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t="str">
        <f>'I - Capital RLM'!B75</f>
        <v>Unit 1 Fairway Court</v>
      </c>
      <c r="JF75" s="2009">
        <f>'I - Capital RLM'!C75</f>
        <v>323</v>
      </c>
      <c r="JG75" s="2009">
        <f>'I - Capital RLM'!D75</f>
        <v>323</v>
      </c>
      <c r="JH75" s="2117">
        <f>'I - Capital RLM'!E75</f>
        <v>0</v>
      </c>
      <c r="JI75" s="1942">
        <f>'I - Capital RLM'!F75</f>
        <v>0</v>
      </c>
      <c r="JJ75" s="2009">
        <f>'I - Capital RLM'!G75</f>
        <v>323</v>
      </c>
      <c r="JK75" s="2009">
        <f>'I - Capital RLM'!H75</f>
        <v>323</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114" t="str">
        <f>'N - GMS'!A75</f>
        <v>Dermatology</v>
      </c>
      <c r="LY75" s="3131"/>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49999999999999"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31.843490000000003</v>
      </c>
      <c r="DM76" s="1906">
        <f>'B3 - COVID-19'!H76</f>
        <v>39.321489999999997</v>
      </c>
      <c r="DN76" s="1906">
        <f>'B3 - COVID-19'!I76</f>
        <v>79.552019999999999</v>
      </c>
      <c r="DO76" s="1906">
        <f>'B3 - COVID-19'!J76</f>
        <v>-44.027630000000002</v>
      </c>
      <c r="DP76" s="1906">
        <f>'B3 - COVID-19'!K76</f>
        <v>8.6507000000000005</v>
      </c>
      <c r="DQ76" s="1906">
        <f>'B3 - COVID-19'!L76</f>
        <v>94.361809999999991</v>
      </c>
      <c r="DR76" s="1906">
        <f>'B3 - COVID-19'!M76</f>
        <v>22.424299999999999</v>
      </c>
      <c r="DS76" s="1906">
        <f>'B3 - COVID-19'!N76</f>
        <v>107.075</v>
      </c>
      <c r="DT76" s="1906">
        <f>'B3 - COVID-19'!O76</f>
        <v>353.62815999999998</v>
      </c>
      <c r="DU76" s="1906">
        <f>'B3 - COVID-19'!P76</f>
        <v>460.70315999999997</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4140</v>
      </c>
      <c r="HS76" s="2401">
        <f>'F - SoFP'!E76</f>
        <v>876</v>
      </c>
      <c r="HT76" s="1945"/>
      <c r="JD76" s="2072">
        <f>'I - Capital RLM'!A76</f>
        <v>52</v>
      </c>
      <c r="JE76" s="2125" t="str">
        <f>'I - Capital RLM'!B76</f>
        <v>Unit 22A and B Taff Business Centre</v>
      </c>
      <c r="JF76" s="2009">
        <f>'I - Capital RLM'!C76</f>
        <v>114</v>
      </c>
      <c r="JG76" s="2009">
        <f>'I - Capital RLM'!D76</f>
        <v>114</v>
      </c>
      <c r="JH76" s="2117">
        <f>'I - Capital RLM'!E76</f>
        <v>0</v>
      </c>
      <c r="JI76" s="1942">
        <f>'I - Capital RLM'!F76</f>
        <v>0</v>
      </c>
      <c r="JJ76" s="2009">
        <f>'I - Capital RLM'!G76</f>
        <v>114</v>
      </c>
      <c r="JK76" s="2009">
        <f>'I - Capital RLM'!H76</f>
        <v>114</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777</v>
      </c>
      <c r="JU76" s="2036">
        <f>'J - Capital In Year Schemes'!E76</f>
        <v>777</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777</v>
      </c>
      <c r="KG76" s="2036">
        <f>'J - Capital In Year Schemes'!Q76</f>
        <v>0</v>
      </c>
      <c r="KH76" s="2036">
        <f>'J - Capital In Year Schemes'!R76</f>
        <v>777</v>
      </c>
      <c r="KI76" s="2036">
        <f>'J - Capital In Year Schemes'!S76</f>
        <v>777</v>
      </c>
      <c r="KJ76" s="2338">
        <f>'J - Capital In Year Schemes'!T76</f>
        <v>777</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114" t="str">
        <f>'N - GMS'!A76</f>
        <v>Dietetics</v>
      </c>
      <c r="LY76" s="3131"/>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49999999999999"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189</v>
      </c>
      <c r="BS77" s="2348">
        <f>'B - Monthly Positions'!O76</f>
        <v>466</v>
      </c>
      <c r="BT77" s="1072">
        <f>'B - Monthly Positions'!P76</f>
        <v>1430.69</v>
      </c>
      <c r="BU77" s="1066">
        <f>'B - Monthly Positions'!Q76</f>
        <v>1896.69</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94.360680000000002</v>
      </c>
      <c r="DM77" s="1911">
        <f>'B3 - COVID-19'!H77</f>
        <v>89.365099999999998</v>
      </c>
      <c r="DN77" s="1911">
        <f>'B3 - COVID-19'!I77</f>
        <v>133.1404</v>
      </c>
      <c r="DO77" s="1911">
        <f>'B3 - COVID-19'!J77</f>
        <v>36.701319999999996</v>
      </c>
      <c r="DP77" s="1911">
        <f>'B3 - COVID-19'!K77</f>
        <v>73.637280000000004</v>
      </c>
      <c r="DQ77" s="1911">
        <f>'B3 - COVID-19'!L77</f>
        <v>159.54415999999998</v>
      </c>
      <c r="DR77" s="1911">
        <f>'B3 - COVID-19'!M77</f>
        <v>84.564419999999998</v>
      </c>
      <c r="DS77" s="1911">
        <f>'B3 - COVID-19'!N77</f>
        <v>169.38031000000001</v>
      </c>
      <c r="DT77" s="1911">
        <f>'B3 - COVID-19'!O77</f>
        <v>1067.7222999999999</v>
      </c>
      <c r="DU77" s="2491">
        <f>'B3 - COVID-19'!P77</f>
        <v>1237.1026099999999</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17140</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777</v>
      </c>
      <c r="KG77" s="1942">
        <f>'J - Capital In Year Schemes'!Q77</f>
        <v>0</v>
      </c>
      <c r="KH77" s="2347">
        <f>'J - Capital In Year Schemes'!R77</f>
        <v>0</v>
      </c>
      <c r="KI77" s="2347">
        <f>'J - Capital In Year Schemes'!S77</f>
        <v>0</v>
      </c>
      <c r="KJ77" s="1942">
        <f>'J - Capital In Year Schemes'!T77</f>
        <v>777</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114" t="str">
        <f>'N - GMS'!A77</f>
        <v>DOAC/NOAC</v>
      </c>
      <c r="LY77" s="3131"/>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49999999999999"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645.16999999999996</v>
      </c>
      <c r="BM78" s="1137">
        <f>'B - Monthly Positions'!I77</f>
        <v>543.77</v>
      </c>
      <c r="BN78" s="1137">
        <f>'B - Monthly Positions'!J77</f>
        <v>543.77</v>
      </c>
      <c r="BO78" s="1137">
        <f>'B - Monthly Positions'!K77</f>
        <v>502.17</v>
      </c>
      <c r="BP78" s="1137">
        <f>'B - Monthly Positions'!L77</f>
        <v>528.91999999999996</v>
      </c>
      <c r="BQ78" s="1137">
        <f>'B - Monthly Positions'!M77</f>
        <v>528.16999999999996</v>
      </c>
      <c r="BR78" s="1137">
        <f>'B - Monthly Positions'!N77</f>
        <v>594.5</v>
      </c>
      <c r="BS78" s="1137">
        <f>'B - Monthly Positions'!O77</f>
        <v>884</v>
      </c>
      <c r="BT78" s="1100">
        <f>'B - Monthly Positions'!P77</f>
        <v>5960.6310000000003</v>
      </c>
      <c r="BU78" s="1132">
        <f>'B - Monthly Positions'!Q77</f>
        <v>6844.6310000000003</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t="str">
        <f>'I - Capital RLM'!B78</f>
        <v>Hosted IFRS 16 Leases:</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3444.9995199999998</v>
      </c>
      <c r="JU78" s="2036">
        <f>'J - Capital In Year Schemes'!E78</f>
        <v>3444.9995199999998</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36.682200000000002</v>
      </c>
      <c r="KA78" s="2036">
        <f>'J - Capital In Year Schemes'!K78</f>
        <v>62.956620000000001</v>
      </c>
      <c r="KB78" s="2036">
        <f>'J - Capital In Year Schemes'!L78</f>
        <v>195.66866999999999</v>
      </c>
      <c r="KC78" s="2036">
        <f>'J - Capital In Year Schemes'!M78</f>
        <v>49.093849999999996</v>
      </c>
      <c r="KD78" s="2036">
        <f>'J - Capital In Year Schemes'!N78</f>
        <v>319.00612999999998</v>
      </c>
      <c r="KE78" s="2036">
        <f>'J - Capital In Year Schemes'!O78</f>
        <v>204.22109</v>
      </c>
      <c r="KF78" s="2036">
        <f>'J - Capital In Year Schemes'!P78</f>
        <v>1164.20451</v>
      </c>
      <c r="KG78" s="2036">
        <f>'J - Capital In Year Schemes'!Q78</f>
        <v>1379.7077300000001</v>
      </c>
      <c r="KH78" s="2036">
        <f>'J - Capital In Year Schemes'!R78</f>
        <v>2064.0811100000001</v>
      </c>
      <c r="KI78" s="2036">
        <f>'J - Capital In Year Schemes'!S78</f>
        <v>3443.7888400000002</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114" t="str">
        <f>'N - GMS'!A78</f>
        <v>Drugs Misuse</v>
      </c>
      <c r="LY78" s="3131"/>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49999999999999"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1331.1217134848484</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t="str">
        <f>'I - Capital RLM'!B79</f>
        <v>Part 2nd Floor, Building 1, Bocum Park</v>
      </c>
      <c r="JF79" s="2009">
        <f>'I - Capital RLM'!C79</f>
        <v>340</v>
      </c>
      <c r="JG79" s="2009">
        <f>'I - Capital RLM'!D79</f>
        <v>340</v>
      </c>
      <c r="JH79" s="2117">
        <f>'I - Capital RLM'!E79</f>
        <v>0</v>
      </c>
      <c r="JI79" s="1942">
        <f>'I - Capital RLM'!F79</f>
        <v>0</v>
      </c>
      <c r="JJ79" s="2009">
        <f>'I - Capital RLM'!G79</f>
        <v>340</v>
      </c>
      <c r="JK79" s="2009">
        <f>'I - Capital RLM'!H79</f>
        <v>340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114" t="str">
        <f>'N - GMS'!A79</f>
        <v>Extended Minor Surgery</v>
      </c>
      <c r="LY79" s="3131"/>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49999999999999"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18</v>
      </c>
      <c r="BM80" s="1841">
        <f>'B - Monthly Positions'!I79</f>
        <v>11.7</v>
      </c>
      <c r="BN80" s="1841">
        <f>'B - Monthly Positions'!J79</f>
        <v>11.7</v>
      </c>
      <c r="BO80" s="1841">
        <f>'B - Monthly Positions'!K79</f>
        <v>11.7</v>
      </c>
      <c r="BP80" s="1841">
        <f>'B - Monthly Positions'!L79</f>
        <v>11.7</v>
      </c>
      <c r="BQ80" s="1841">
        <f>'B - Monthly Positions'!M79</f>
        <v>11.7</v>
      </c>
      <c r="BR80" s="1841">
        <f>'B - Monthly Positions'!N79</f>
        <v>11.7</v>
      </c>
      <c r="BS80" s="1842">
        <f>'B - Monthly Positions'!O79</f>
        <v>12</v>
      </c>
      <c r="BT80" s="1080">
        <f>'B - Monthly Positions'!P79</f>
        <v>128.84</v>
      </c>
      <c r="BU80" s="1066">
        <f>'B - Monthly Positions'!Q79</f>
        <v>140.84</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25.166504848484834</v>
      </c>
      <c r="DM80" s="1907">
        <f>'B3 - COVID-19'!H80</f>
        <v>90.162084848484838</v>
      </c>
      <c r="DN80" s="1907">
        <f>'B3 - COVID-19'!I80</f>
        <v>33.886784848484837</v>
      </c>
      <c r="DO80" s="1907">
        <f>'B3 - COVID-19'!J80</f>
        <v>70.325864848484841</v>
      </c>
      <c r="DP80" s="1907">
        <f>'B3 - COVID-19'!K80</f>
        <v>33.389904848484832</v>
      </c>
      <c r="DQ80" s="1907">
        <f>'B3 - COVID-19'!L80</f>
        <v>-52.51697515151514</v>
      </c>
      <c r="DR80" s="1907">
        <f>'B3 - COVID-19'!M80</f>
        <v>74.313869848484856</v>
      </c>
      <c r="DS80" s="1907">
        <f>'B3 - COVID-19'!N80</f>
        <v>-10.502020151515154</v>
      </c>
      <c r="DT80" s="1907">
        <f>'B3 - COVID-19'!O80</f>
        <v>263.39941348484854</v>
      </c>
      <c r="DU80" s="1907">
        <f>'B3 - COVID-19'!P80</f>
        <v>252.89739333333341</v>
      </c>
      <c r="DV80" s="608"/>
      <c r="DW80" s="1115"/>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114" t="str">
        <f>'N - GMS'!A80</f>
        <v>Gonaderlins</v>
      </c>
      <c r="LY80" s="3131"/>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49999999999999"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135"/>
      <c r="EA81" s="3136"/>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46"/>
      <c r="EO81" s="3048"/>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114" t="str">
        <f>'N - GMS'!A81</f>
        <v>Homeless</v>
      </c>
      <c r="LY81" s="3132"/>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49999999999999"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180.61000000000007</v>
      </c>
      <c r="BU82" s="1066">
        <f>'B - Monthly Positions'!Q81</f>
        <v>197.03000000000009</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114" t="str">
        <f>'N - GMS'!A82</f>
        <v>HPV Vaccinations</v>
      </c>
      <c r="LY82" s="3132"/>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49999999999999"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34.42</v>
      </c>
      <c r="BM83" s="1137">
        <f>'B - Monthly Positions'!I82</f>
        <v>28.12</v>
      </c>
      <c r="BN83" s="1137">
        <f>'B - Monthly Positions'!J82</f>
        <v>28.12</v>
      </c>
      <c r="BO83" s="1137">
        <f>'B - Monthly Positions'!K82</f>
        <v>28.12</v>
      </c>
      <c r="BP83" s="1137">
        <f>'B - Monthly Positions'!L82</f>
        <v>28.12</v>
      </c>
      <c r="BQ83" s="1137">
        <f>'B - Monthly Positions'!M82</f>
        <v>28.12</v>
      </c>
      <c r="BR83" s="1137">
        <f>'B - Monthly Positions'!N82</f>
        <v>28.12</v>
      </c>
      <c r="BS83" s="1137">
        <f>'B - Monthly Positions'!O82</f>
        <v>28.42</v>
      </c>
      <c r="BT83" s="1100">
        <f>'B - Monthly Positions'!P82</f>
        <v>309.45000000000005</v>
      </c>
      <c r="BU83" s="1132">
        <f>'B - Monthly Positions'!Q82</f>
        <v>337.87000000000006</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3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9635.3559999999998</v>
      </c>
      <c r="GW83" s="2527">
        <f>'E1 - Invoiced Income'!D83</f>
        <v>2245.6109999999999</v>
      </c>
      <c r="GX83" s="117">
        <f>'E1 - Invoiced Income'!E83</f>
        <v>11880.967000000001</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49999999999999"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1331.1217534848483</v>
      </c>
      <c r="DU84" s="1322">
        <f>'B3 - COVID-19'!P84</f>
        <v>1490.0000433333332</v>
      </c>
      <c r="DV84" s="608"/>
      <c r="DW84" s="1115"/>
      <c r="DY84" s="131">
        <v>2</v>
      </c>
      <c r="DZ84" s="303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49999999999999"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049"/>
      <c r="BZ85" s="3050"/>
      <c r="CA85" s="3050"/>
      <c r="CB85" s="3050"/>
      <c r="CC85" s="3050"/>
      <c r="CD85" s="3050"/>
      <c r="CE85" s="3050"/>
      <c r="CF85" s="3050"/>
      <c r="CG85" s="3050"/>
      <c r="CH85" s="3050"/>
      <c r="CI85" s="3050"/>
      <c r="CJ85" s="3050"/>
      <c r="CK85" s="3050"/>
      <c r="CL85" s="3050"/>
      <c r="CM85" s="3050"/>
      <c r="DF85" s="2738">
        <f>'B3 - COVID-19'!A85</f>
        <v>59</v>
      </c>
      <c r="DG85" s="2841" t="str">
        <f>'B3 - COVID-19'!B85</f>
        <v>Actual/Forecast Funding for COVID-19 Vaccination Programme (immunisation)</v>
      </c>
      <c r="DH85" s="2800">
        <f>'B3 - COVID-19'!C85</f>
        <v>60.311959999999999</v>
      </c>
      <c r="DI85" s="1325">
        <f>'B3 - COVID-19'!D85</f>
        <v>89.321359999999999</v>
      </c>
      <c r="DJ85" s="1325">
        <f>'B3 - COVID-19'!E85</f>
        <v>82.17770999999999</v>
      </c>
      <c r="DK85" s="1325">
        <f>'B3 - COVID-19'!F85</f>
        <v>164.59791000000001</v>
      </c>
      <c r="DL85" s="1325">
        <f>'B3 - COVID-19'!G85</f>
        <v>94.360680000000002</v>
      </c>
      <c r="DM85" s="1325">
        <f>'B3 - COVID-19'!H85</f>
        <v>89.365099999999998</v>
      </c>
      <c r="DN85" s="1325">
        <f>'B3 - COVID-19'!I85</f>
        <v>133.1404</v>
      </c>
      <c r="DO85" s="1325">
        <f>'B3 - COVID-19'!J85</f>
        <v>36.701319999999996</v>
      </c>
      <c r="DP85" s="1325">
        <f>'B3 - COVID-19'!K85</f>
        <v>73.637280000000004</v>
      </c>
      <c r="DQ85" s="1325">
        <f>'B3 - COVID-19'!L85</f>
        <v>159.54415999999998</v>
      </c>
      <c r="DR85" s="1325">
        <f>'B3 - COVID-19'!M85</f>
        <v>84.564419999999998</v>
      </c>
      <c r="DS85" s="1334">
        <f>'B3 - COVID-19'!N85</f>
        <v>169.38031000000001</v>
      </c>
      <c r="DT85" s="1323">
        <f>'B3 - COVID-19'!O85</f>
        <v>1067.7222999999999</v>
      </c>
      <c r="DU85" s="1324">
        <f>'B3 - COVID-19'!P85</f>
        <v>1237.1026099999999</v>
      </c>
      <c r="DV85" s="608"/>
      <c r="DW85" s="1115"/>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137" t="str">
        <f>'E - Resource Limits'!A85</f>
        <v>ANALYSIS OF WG FUNDING FOR COVID-19 INCLUDED ABOVE</v>
      </c>
      <c r="GG85" s="3138"/>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141"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49999999999999"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3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137"/>
      <c r="GG86" s="3138"/>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142"/>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49999999999999"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60.311959999999999</v>
      </c>
      <c r="DI87" s="2814">
        <f>'B3 - COVID-19'!D87</f>
        <v>89.321359999999999</v>
      </c>
      <c r="DJ87" s="2814">
        <f>'B3 - COVID-19'!E87</f>
        <v>82.17770999999999</v>
      </c>
      <c r="DK87" s="2814">
        <f>'B3 - COVID-19'!F87</f>
        <v>164.59791000000001</v>
      </c>
      <c r="DL87" s="2814">
        <f>'B3 - COVID-19'!G87</f>
        <v>94.360680000000002</v>
      </c>
      <c r="DM87" s="2814">
        <f>'B3 - COVID-19'!H87</f>
        <v>89.365099999999998</v>
      </c>
      <c r="DN87" s="2814">
        <f>'B3 - COVID-19'!I87</f>
        <v>133.1404</v>
      </c>
      <c r="DO87" s="2814">
        <f>'B3 - COVID-19'!J87</f>
        <v>36.701319999999996</v>
      </c>
      <c r="DP87" s="2814">
        <f>'B3 - COVID-19'!K87</f>
        <v>73.637280000000004</v>
      </c>
      <c r="DQ87" s="2814">
        <f>'B3 - COVID-19'!L87</f>
        <v>159.54415999999998</v>
      </c>
      <c r="DR87" s="2814">
        <f>'B3 - COVID-19'!M87</f>
        <v>84.564419999999998</v>
      </c>
      <c r="DS87" s="2815">
        <f>'B3 - COVID-19'!N87</f>
        <v>169.38031000000001</v>
      </c>
      <c r="DT87" s="1109">
        <f>'B3 - COVID-19'!O87</f>
        <v>1067.7222999999999</v>
      </c>
      <c r="DU87" s="1219">
        <f>'B3 - COVID-19'!P87</f>
        <v>1237.1026099999999</v>
      </c>
      <c r="DV87" s="608"/>
      <c r="DW87" s="1115"/>
      <c r="DY87" s="131">
        <v>5</v>
      </c>
      <c r="DZ87" s="303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139"/>
      <c r="GG87" s="3140"/>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143"/>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114" t="str">
        <f>'N - GMS'!A87</f>
        <v>Mental Health</v>
      </c>
      <c r="LY87" s="3131"/>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49999999999999"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-3.9999999998485691E-5</v>
      </c>
      <c r="DI88" s="2811">
        <f>'B3 - COVID-19'!D88</f>
        <v>3.6073751515151571</v>
      </c>
      <c r="DJ88" s="2811">
        <f>'B3 - COVID-19'!E88</f>
        <v>-37.349474848484846</v>
      </c>
      <c r="DK88" s="2811">
        <f>'B3 - COVID-19'!F88</f>
        <v>45.070725151515177</v>
      </c>
      <c r="DL88" s="2811">
        <f>'B3 - COVID-19'!G88</f>
        <v>-25.166504848484834</v>
      </c>
      <c r="DM88" s="2811">
        <f>'B3 - COVID-19'!H88</f>
        <v>-90.162084848484838</v>
      </c>
      <c r="DN88" s="2811">
        <f>'B3 - COVID-19'!I88</f>
        <v>-33.886784848484837</v>
      </c>
      <c r="DO88" s="2811">
        <f>'B3 - COVID-19'!J88</f>
        <v>-70.325864848484841</v>
      </c>
      <c r="DP88" s="2811">
        <f>'B3 - COVID-19'!K88</f>
        <v>-33.389904848484832</v>
      </c>
      <c r="DQ88" s="2811">
        <f>'B3 - COVID-19'!L88</f>
        <v>52.51697515151514</v>
      </c>
      <c r="DR88" s="2811">
        <f>'B3 - COVID-19'!M88</f>
        <v>-74.313869848484856</v>
      </c>
      <c r="DS88" s="2812">
        <f>'B3 - COVID-19'!N88</f>
        <v>10.502020151515154</v>
      </c>
      <c r="DT88" s="1685">
        <f>'B3 - COVID-19'!O88</f>
        <v>-263.39945348484844</v>
      </c>
      <c r="DU88" s="2517">
        <f>'B3 - COVID-19'!P88</f>
        <v>-252.89743333333331</v>
      </c>
      <c r="DV88" s="608"/>
      <c r="DW88" s="1115"/>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114" t="str">
        <f>'N - GMS'!A88</f>
        <v>Minor Injuries</v>
      </c>
      <c r="LY88" s="3131"/>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49999999999999"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3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114" t="str">
        <f>'N - GMS'!A89</f>
        <v>MMR</v>
      </c>
      <c r="LY89" s="3131"/>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49999999999999"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0</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0</v>
      </c>
      <c r="DU90" s="1866">
        <f>'B3 - COVID-19'!P90</f>
        <v>0</v>
      </c>
      <c r="DV90" s="608"/>
      <c r="DW90" s="1115"/>
      <c r="DY90" s="131">
        <v>8</v>
      </c>
      <c r="DZ90" s="303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49999999999999"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114" t="str">
        <f>'N - GMS'!A91</f>
        <v>Muscular Skeletal</v>
      </c>
      <c r="LY91" s="3132"/>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49999999999999"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3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114" t="str">
        <f>'N - GMS'!A92</f>
        <v xml:space="preserve">Nursing Homes </v>
      </c>
      <c r="LY92" s="3131"/>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49999999999999"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3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777</v>
      </c>
      <c r="JG93" s="2036">
        <f>'I - Capital RLM'!D93</f>
        <v>777</v>
      </c>
      <c r="JH93" s="2036">
        <f>'I - Capital RLM'!E93</f>
        <v>0</v>
      </c>
      <c r="JI93" s="1942">
        <f>'I - Capital RLM'!F93</f>
        <v>0</v>
      </c>
      <c r="JJ93" s="2036">
        <f>'I - Capital RLM'!G93</f>
        <v>777</v>
      </c>
      <c r="JK93" s="2036">
        <f>'I - Capital RLM'!H93</f>
        <v>777</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49999999999999"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114" t="str">
        <f>'N - GMS'!A94</f>
        <v>Osteopathy</v>
      </c>
      <c r="LY94" s="3131"/>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49999999999999"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2063.97748</v>
      </c>
      <c r="JG95" s="2036">
        <f>'I - Capital RLM'!D95</f>
        <v>2063.97748</v>
      </c>
      <c r="JH95" s="2036">
        <f>'I - Capital RLM'!E95</f>
        <v>0</v>
      </c>
      <c r="JI95" s="1942">
        <f>'I - Capital RLM'!F95</f>
        <v>0</v>
      </c>
      <c r="JJ95" s="2036">
        <f>'I - Capital RLM'!G95</f>
        <v>3444.9995199999998</v>
      </c>
      <c r="JK95" s="2036">
        <f>'I - Capital RLM'!H95</f>
        <v>3444.1967999999997</v>
      </c>
      <c r="JL95" s="2036">
        <f>'I - Capital RLM'!I95</f>
        <v>-0.80272000000013577</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114" t="str">
        <f>'N - GMS'!A95</f>
        <v>Phlebotomy</v>
      </c>
      <c r="LY95" s="3131"/>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49999999999999"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29</v>
      </c>
      <c r="BM96" s="3002">
        <f>'B - Monthly Positions'!I96</f>
        <v>33</v>
      </c>
      <c r="BN96" s="3002">
        <f>'B - Monthly Positions'!J96</f>
        <v>27</v>
      </c>
      <c r="BO96" s="3002">
        <f>'B - Monthly Positions'!K96</f>
        <v>-1</v>
      </c>
      <c r="BP96" s="3002">
        <f>'B - Monthly Positions'!L96</f>
        <v>41</v>
      </c>
      <c r="BQ96" s="3002">
        <f>'B - Monthly Positions'!M96</f>
        <v>41</v>
      </c>
      <c r="BR96" s="3002">
        <f>'B - Monthly Positions'!N96</f>
        <v>21</v>
      </c>
      <c r="BS96" s="3002">
        <f>'B - Monthly Positions'!O96</f>
        <v>88</v>
      </c>
      <c r="BT96" s="1100">
        <f>'B - Monthly Positions'!P96</f>
        <v>366</v>
      </c>
      <c r="BU96" s="1100">
        <f>'B - Monthly Positions'!Q96</f>
        <v>454</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3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114" t="str">
        <f>'N - GMS'!A96</f>
        <v>Physiotherapy (inc MT3)</v>
      </c>
      <c r="LY96" s="3131"/>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49999999999999"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4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49999999999999"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49999999999999"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114" t="str">
        <f>'N - GMS'!A99</f>
        <v>Ring Pessaries</v>
      </c>
      <c r="LY99" s="3131"/>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49999999999999"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49999999999999"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t="str">
        <f>'I - Capital RLM'!B101</f>
        <v>IFRS 16 Dilapidations for new and renewal leases</v>
      </c>
      <c r="JF101" s="2009">
        <f>'I - Capital RLM'!C101</f>
        <v>249.774</v>
      </c>
      <c r="JG101" s="2009">
        <f>'I - Capital RLM'!D101</f>
        <v>249.774</v>
      </c>
      <c r="JH101" s="2117">
        <f>'I - Capital RLM'!E101</f>
        <v>0</v>
      </c>
      <c r="JI101" s="1942">
        <f>'I - Capital RLM'!F101</f>
        <v>0</v>
      </c>
      <c r="JJ101" s="2009">
        <f>'I - Capital RLM'!G101</f>
        <v>249.774</v>
      </c>
      <c r="JK101" s="2009">
        <f>'I - Capital RLM'!H101</f>
        <v>249.774</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49999999999999"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49999999999999"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114" t="str">
        <f>'N - GMS'!A103</f>
        <v>Substance Misuse</v>
      </c>
      <c r="LY103" s="3131"/>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49999999999999"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114" t="str">
        <f>'N - GMS'!A104</f>
        <v>Suturing</v>
      </c>
      <c r="LY104" s="3131"/>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49999999999999"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43"/>
      <c r="EA105" s="3044"/>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114" t="str">
        <f>'N - GMS'!A105</f>
        <v>Swine Flu</v>
      </c>
      <c r="LY105" s="3132"/>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49999999999999"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249.774</v>
      </c>
      <c r="JG106" s="2036">
        <f>'I - Capital RLM'!D106</f>
        <v>249.774</v>
      </c>
      <c r="JH106" s="2036">
        <f>'I - Capital RLM'!E106</f>
        <v>0</v>
      </c>
      <c r="JI106" s="1942">
        <f>'I - Capital RLM'!F106</f>
        <v>0</v>
      </c>
      <c r="JJ106" s="2036">
        <f>'I - Capital RLM'!G106</f>
        <v>249.774</v>
      </c>
      <c r="JK106" s="2036">
        <f>'I - Capital RLM'!H106</f>
        <v>249.774</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114" t="str">
        <f>'N - GMS'!A106</f>
        <v>Transport/Ambulance costs</v>
      </c>
      <c r="LY106" s="3132"/>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49999999999999"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3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1359.0833333333335</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114" t="str">
        <f>'N - GMS'!A107</f>
        <v>Vasectomy</v>
      </c>
      <c r="LY107" s="3131"/>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49999999999999"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3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1359.0833333333335</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49999999999999"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4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114" t="str">
        <f>'N - GMS'!A109</f>
        <v>Wound Care</v>
      </c>
      <c r="LY109" s="3131"/>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49999999999999"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3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1639.5</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144" t="str">
        <f>'N - GMS'!A110</f>
        <v>Zoladex</v>
      </c>
      <c r="LY110" s="3145"/>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49999999999999"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3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1639.5</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146">
        <f>'N - GMS'!A111</f>
        <v>0</v>
      </c>
      <c r="LY111" s="3147"/>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49999999999999"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4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146">
        <f>'N - GMS'!A112</f>
        <v>0</v>
      </c>
      <c r="LY112" s="3147"/>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49999999999999"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3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t="str">
        <f>'I - Capital RLM'!B113</f>
        <v>P000614 - Qiagen QIAExel Capiliary electrophoresis</v>
      </c>
      <c r="JF113" s="2009">
        <f>'I - Capital RLM'!C113</f>
        <v>0</v>
      </c>
      <c r="JG113" s="2009">
        <f>'I - Capital RLM'!D113</f>
        <v>1</v>
      </c>
      <c r="JH113" s="2117">
        <f>'I - Capital RLM'!E113</f>
        <v>1</v>
      </c>
      <c r="JI113" s="1942">
        <f>'I - Capital RLM'!F113</f>
        <v>0</v>
      </c>
      <c r="JJ113" s="2009">
        <f>'I - Capital RLM'!G113</f>
        <v>0</v>
      </c>
      <c r="JK113" s="2009">
        <f>'I - Capital RLM'!H113</f>
        <v>1</v>
      </c>
      <c r="JL113" s="2117">
        <f>'I - Capital RLM'!I113</f>
        <v>1</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146">
        <f>'N - GMS'!A113</f>
        <v>0</v>
      </c>
      <c r="LY113" s="3147"/>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49999999999999"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049"/>
      <c r="BZ114" s="3049"/>
      <c r="CA114" s="3049"/>
      <c r="CB114" s="3049"/>
      <c r="CC114" s="3049"/>
      <c r="CD114" s="3049"/>
      <c r="CE114" s="3049"/>
      <c r="CF114" s="3049"/>
      <c r="CG114" s="3049"/>
      <c r="CH114" s="3049"/>
      <c r="CI114" s="3049"/>
      <c r="CJ114" s="3049"/>
      <c r="CK114" s="3049"/>
      <c r="CL114" s="3049"/>
      <c r="CM114" s="3049"/>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3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t="str">
        <f>'I - Capital RLM'!B114</f>
        <v>P000943 - GE Ultrasound machine (repl) BTW Swansea</v>
      </c>
      <c r="JF114" s="2009">
        <f>'I - Capital RLM'!C114</f>
        <v>0</v>
      </c>
      <c r="JG114" s="2009">
        <f>'I - Capital RLM'!D114</f>
        <v>2</v>
      </c>
      <c r="JH114" s="2117">
        <f>'I - Capital RLM'!E114</f>
        <v>2</v>
      </c>
      <c r="JI114" s="1942">
        <f>'I - Capital RLM'!F114</f>
        <v>0</v>
      </c>
      <c r="JJ114" s="2009">
        <f>'I - Capital RLM'!G114</f>
        <v>0</v>
      </c>
      <c r="JK114" s="2009">
        <f>'I - Capital RLM'!H114</f>
        <v>2</v>
      </c>
      <c r="JL114" s="2117">
        <f>'I - Capital RLM'!I114</f>
        <v>2</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146">
        <f>'N - GMS'!A114</f>
        <v>0</v>
      </c>
      <c r="LY114" s="3147"/>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49999999999999"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4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t="str">
        <f>'I - Capital RLM'!B115</f>
        <v>P001252 - Video Conference Equipment</v>
      </c>
      <c r="JF115" s="2009">
        <f>'I - Capital RLM'!C115</f>
        <v>0</v>
      </c>
      <c r="JG115" s="2009">
        <f>'I - Capital RLM'!D115</f>
        <v>3</v>
      </c>
      <c r="JH115" s="2117">
        <f>'I - Capital RLM'!E115</f>
        <v>3</v>
      </c>
      <c r="JI115" s="1942">
        <f>'I - Capital RLM'!F115</f>
        <v>0</v>
      </c>
      <c r="JJ115" s="2009">
        <f>'I - Capital RLM'!G115</f>
        <v>0</v>
      </c>
      <c r="JK115" s="2009">
        <f>'I - Capital RLM'!H115</f>
        <v>3</v>
      </c>
      <c r="JL115" s="2117">
        <f>'I - Capital RLM'!I115</f>
        <v>3</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146">
        <f>'N - GMS'!A115</f>
        <v>0</v>
      </c>
      <c r="LY115" s="3147"/>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49999999999999"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3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t="str">
        <f>'I - Capital RLM'!B116</f>
        <v>P001031 - 4ft Biology Safety Cabinet</v>
      </c>
      <c r="JF116" s="2009">
        <f>'I - Capital RLM'!C116</f>
        <v>0</v>
      </c>
      <c r="JG116" s="2009">
        <f>'I - Capital RLM'!D116</f>
        <v>3</v>
      </c>
      <c r="JH116" s="2117">
        <f>'I - Capital RLM'!E116</f>
        <v>3</v>
      </c>
      <c r="JI116" s="1942">
        <f>'I - Capital RLM'!F116</f>
        <v>0</v>
      </c>
      <c r="JJ116" s="2009">
        <f>'I - Capital RLM'!G116</f>
        <v>0</v>
      </c>
      <c r="JK116" s="2009">
        <f>'I - Capital RLM'!H116</f>
        <v>3</v>
      </c>
      <c r="JL116" s="2117">
        <f>'I - Capital RLM'!I116</f>
        <v>3</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49999999999999"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3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146">
        <f>'N - GMS'!A117</f>
        <v>0</v>
      </c>
      <c r="LY117" s="3147"/>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49999999999999"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4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146">
        <f>'N - GMS'!A118</f>
        <v>0</v>
      </c>
      <c r="LY118" s="3147"/>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49999999999999"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3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49999999999999"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3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49999999999999"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4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49999999999999"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3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49999999999999"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3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49999999999999"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4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9</v>
      </c>
      <c r="JH124" s="2036">
        <f>'I - Capital RLM'!E124</f>
        <v>9</v>
      </c>
      <c r="JI124" s="1942">
        <f>'I - Capital RLM'!F124</f>
        <v>0</v>
      </c>
      <c r="JJ124" s="2036">
        <f>'I - Capital RLM'!G124</f>
        <v>0</v>
      </c>
      <c r="JK124" s="2036">
        <f>'I - Capital RLM'!H124</f>
        <v>9</v>
      </c>
      <c r="JL124" s="2036">
        <f>'I - Capital RLM'!I124</f>
        <v>9</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49999999999999"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3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49999999999999"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3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49999999999999"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4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49999999999999"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3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49999999999999"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3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1814.2034800000001</v>
      </c>
      <c r="JG129" s="2036">
        <f>'I - Capital RLM'!D129</f>
        <v>1805.2034800000001</v>
      </c>
      <c r="JH129" s="2036">
        <f>'I - Capital RLM'!E129</f>
        <v>-9</v>
      </c>
      <c r="JI129" s="1942">
        <f>'I - Capital RLM'!F129</f>
        <v>0</v>
      </c>
      <c r="JJ129" s="2036">
        <f>'I - Capital RLM'!G129</f>
        <v>3195.22552</v>
      </c>
      <c r="JK129" s="2036">
        <f>'I - Capital RLM'!H129</f>
        <v>3185.4227999999998</v>
      </c>
      <c r="JL129" s="2036">
        <f>'I - Capital RLM'!I129</f>
        <v>-9.8027200000001358</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148"/>
      <c r="MB129" s="3148"/>
      <c r="MC129" s="3148"/>
      <c r="MD129" s="3148"/>
      <c r="ME129" s="3149"/>
      <c r="MF129" s="3148"/>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49999999999999"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4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49999999999999"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3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-1639.7965199999999</v>
      </c>
      <c r="JH131" s="2451">
        <f>'I - Capital RLM'!E131</f>
        <v>0</v>
      </c>
      <c r="JI131" s="1942">
        <f>'I - Capital RLM'!F131</f>
        <v>0</v>
      </c>
      <c r="JJ131" s="2451">
        <f>'I - Capital RLM'!G131</f>
        <v>0</v>
      </c>
      <c r="JK131" s="2036">
        <f>'I - Capital RLM'!H131</f>
        <v>-259.57720000000018</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49999999999999"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3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49999999999999"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4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49999999999999"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3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49999999999999"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3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49999999999999"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4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49999999999999"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3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2998.5833333333326</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49999999999999"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3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2998.5833333333326</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49999999999999"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4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49999999999999"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49999999999999"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49999999999999" customHeight="1" thickBot="1">
      <c r="BX142" s="84"/>
      <c r="BY142" s="3049"/>
      <c r="BZ142" s="3049"/>
      <c r="CA142" s="3049"/>
      <c r="CB142" s="3049"/>
      <c r="CC142" s="3049"/>
      <c r="CD142" s="3049"/>
      <c r="CE142" s="3049"/>
      <c r="CF142" s="3049"/>
      <c r="CG142" s="3049"/>
      <c r="CH142" s="3049"/>
      <c r="CI142" s="3049"/>
      <c r="CJ142" s="3049"/>
      <c r="CK142" s="3049"/>
      <c r="CL142" s="3049"/>
      <c r="CM142" s="3049"/>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49999999999999"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49999999999999"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49999999999999"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150" t="str">
        <f>'N - GMS'!A145</f>
        <v>Other (please provide detail below, this should reconcile to line 128)</v>
      </c>
      <c r="LY145" s="3151"/>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49999999999999"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49999999999999"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15046.435825101298</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1000.3387400000001</v>
      </c>
      <c r="DM148" s="2750">
        <f>'B3 - COVID-19'!H148</f>
        <v>842.60315000000014</v>
      </c>
      <c r="DN148" s="2750">
        <f>'B3 - COVID-19'!I148</f>
        <v>1225.3558500000001</v>
      </c>
      <c r="DO148" s="2750">
        <f>'B3 - COVID-19'!J148</f>
        <v>778.90688</v>
      </c>
      <c r="DP148" s="2750">
        <f>'B3 - COVID-19'!K148</f>
        <v>924.06173999999999</v>
      </c>
      <c r="DQ148" s="2750">
        <f>'B3 - COVID-19'!L148</f>
        <v>1093.6154199999999</v>
      </c>
      <c r="DR148" s="2750">
        <f>'B3 - COVID-19'!M148</f>
        <v>918.94816999999989</v>
      </c>
      <c r="DS148" s="2750">
        <f>'B3 - COVID-19'!N148</f>
        <v>1326.6617466666667</v>
      </c>
      <c r="DT148" s="2754">
        <f>'B3 - COVID-19'!O148</f>
        <v>10554.304399999999</v>
      </c>
      <c r="DU148" s="2755">
        <f>'B3 - COVID-19'!P148</f>
        <v>11880.966146666666</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134.90549425089444</v>
      </c>
      <c r="DM149" s="2754">
        <f>'B3 - COVID-19'!H149</f>
        <v>809.18420125941884</v>
      </c>
      <c r="DN149" s="2754">
        <f>'B3 - COVID-19'!I149</f>
        <v>213.39209698581726</v>
      </c>
      <c r="DO149" s="2754">
        <f>'B3 - COVID-19'!J149</f>
        <v>605.06149584160221</v>
      </c>
      <c r="DP149" s="2754">
        <f>'B3 - COVID-19'!K149</f>
        <v>984.24359865248391</v>
      </c>
      <c r="DQ149" s="2754">
        <f>'B3 - COVID-19'!L149</f>
        <v>323.13252698581755</v>
      </c>
      <c r="DR149" s="2754">
        <f>'B3 - COVID-19'!M149</f>
        <v>445.7747846973873</v>
      </c>
      <c r="DS149" s="2754">
        <f>'B3 - COVID-19'!N149</f>
        <v>556.90242920803939</v>
      </c>
      <c r="DT149" s="2754">
        <f>'B3 - COVID-19'!O149</f>
        <v>4492.1314251012964</v>
      </c>
      <c r="DU149" s="2755">
        <f>'B3 - COVID-19'!P149</f>
        <v>5049.0338543093358</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49999999999999"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15046.435635101296</v>
      </c>
      <c r="DU151" s="2755">
        <f>'B3 - COVID-19'!P151</f>
        <v>16929.999810976002</v>
      </c>
      <c r="DV151" s="608"/>
      <c r="DW151" s="1115"/>
      <c r="LL151" s="813"/>
      <c r="LM151" s="641"/>
      <c r="LN151" s="642"/>
      <c r="LO151" s="643"/>
      <c r="LP151" s="833">
        <f>'M - Aged Debtors'!E151</f>
        <v>131132.44</v>
      </c>
      <c r="LQ151" s="833">
        <f>'M - Aged Debtors'!F151</f>
        <v>131132.44</v>
      </c>
      <c r="LR151" s="644"/>
      <c r="LS151" s="834">
        <f>'M - Aged Debtors'!H151</f>
        <v>131132.44</v>
      </c>
      <c r="LT151" s="834">
        <f>'M - Aged Debtors'!I151</f>
        <v>0</v>
      </c>
      <c r="LU151" s="645"/>
      <c r="LV151" s="641"/>
      <c r="LX151" s="3154"/>
      <c r="LY151" s="3155"/>
      <c r="LZ151" s="3157"/>
      <c r="MA151" s="3159"/>
      <c r="MB151" s="3159"/>
      <c r="MC151" s="3159"/>
      <c r="MD151" s="3159"/>
      <c r="ME151" s="526"/>
      <c r="MF151" s="3159"/>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49999999999999"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984.98719000000006</v>
      </c>
      <c r="DI152" s="2750">
        <f>'B3 - COVID-19'!D152</f>
        <v>918.43759999999997</v>
      </c>
      <c r="DJ152" s="2750">
        <f>'B3 - COVID-19'!E152</f>
        <v>961.73333000000002</v>
      </c>
      <c r="DK152" s="2750">
        <f>'B3 - COVID-19'!F152</f>
        <v>905.31633000000011</v>
      </c>
      <c r="DL152" s="2750">
        <f>'B3 - COVID-19'!G152</f>
        <v>1000.3387400000001</v>
      </c>
      <c r="DM152" s="2750">
        <f>'B3 - COVID-19'!H152</f>
        <v>842.60315000000014</v>
      </c>
      <c r="DN152" s="2750">
        <f>'B3 - COVID-19'!I152</f>
        <v>1225.3558500000001</v>
      </c>
      <c r="DO152" s="2750">
        <f>'B3 - COVID-19'!J152</f>
        <v>778.90688</v>
      </c>
      <c r="DP152" s="2750">
        <f>'B3 - COVID-19'!K152</f>
        <v>924.06173999999999</v>
      </c>
      <c r="DQ152" s="2750">
        <f>'B3 - COVID-19'!L152</f>
        <v>1093.6154199999999</v>
      </c>
      <c r="DR152" s="2750">
        <f>'B3 - COVID-19'!M152</f>
        <v>918.94816999999989</v>
      </c>
      <c r="DS152" s="2750">
        <f>'B3 - COVID-19'!N152</f>
        <v>1326.6617466666667</v>
      </c>
      <c r="DT152" s="2754">
        <f>'B3 - COVID-19'!O152</f>
        <v>10554.304399999999</v>
      </c>
      <c r="DU152" s="2755">
        <f>'B3 - COVID-19'!P152</f>
        <v>11880.966146666666</v>
      </c>
      <c r="DV152" s="608"/>
      <c r="DW152" s="1115"/>
      <c r="LL152" s="813"/>
      <c r="LM152" s="818"/>
      <c r="LN152" s="819"/>
      <c r="LO152" s="820"/>
      <c r="LP152" s="820"/>
      <c r="LQ152" s="821"/>
      <c r="LR152" s="820"/>
      <c r="LS152" s="822"/>
      <c r="LT152" s="822"/>
      <c r="LU152" s="813"/>
      <c r="LV152" s="813"/>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49999999999999"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49999999999999"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984.98719000000006</v>
      </c>
      <c r="DI154" s="2754">
        <f>'B3 - COVID-19'!D154</f>
        <v>918.43759999999997</v>
      </c>
      <c r="DJ154" s="2754">
        <f>'B3 - COVID-19'!E154</f>
        <v>961.73333000000002</v>
      </c>
      <c r="DK154" s="2754">
        <f>'B3 - COVID-19'!F154</f>
        <v>905.31633000000011</v>
      </c>
      <c r="DL154" s="2754">
        <f>'B3 - COVID-19'!G154</f>
        <v>1000.3387400000001</v>
      </c>
      <c r="DM154" s="2754">
        <f>'B3 - COVID-19'!H154</f>
        <v>842.60315000000014</v>
      </c>
      <c r="DN154" s="2754">
        <f>'B3 - COVID-19'!I154</f>
        <v>1225.3558500000001</v>
      </c>
      <c r="DO154" s="2754">
        <f>'B3 - COVID-19'!J154</f>
        <v>778.90688</v>
      </c>
      <c r="DP154" s="2754">
        <f>'B3 - COVID-19'!K154</f>
        <v>924.06173999999999</v>
      </c>
      <c r="DQ154" s="2754">
        <f>'B3 - COVID-19'!L154</f>
        <v>1093.6154199999999</v>
      </c>
      <c r="DR154" s="2754">
        <f>'B3 - COVID-19'!M154</f>
        <v>918.94816999999989</v>
      </c>
      <c r="DS154" s="2754">
        <f>'B3 - COVID-19'!N154</f>
        <v>1326.6617466666667</v>
      </c>
      <c r="DT154" s="2754">
        <f>'B3 - COVID-19'!O154</f>
        <v>10554.304399999999</v>
      </c>
      <c r="DU154" s="2755">
        <f>'B3 - COVID-19'!P154</f>
        <v>11880.966146666666</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49999999999999"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1.900000000887303E-4</v>
      </c>
      <c r="DI155" s="2759">
        <f>'B3 - COVID-19'!D155</f>
        <v>-128.49630925089446</v>
      </c>
      <c r="DJ155" s="2759">
        <f>'B3 - COVID-19'!E155</f>
        <v>-608.51301292608559</v>
      </c>
      <c r="DK155" s="2759">
        <f>'B3 - COVID-19'!F155</f>
        <v>-239.42790425089447</v>
      </c>
      <c r="DL155" s="2759">
        <f>'B3 - COVID-19'!G155</f>
        <v>-134.90549425089444</v>
      </c>
      <c r="DM155" s="2759">
        <f>'B3 - COVID-19'!H155</f>
        <v>-809.18420125941884</v>
      </c>
      <c r="DN155" s="2759">
        <f>'B3 - COVID-19'!I155</f>
        <v>-213.39209698581726</v>
      </c>
      <c r="DO155" s="2759">
        <f>'B3 - COVID-19'!J155</f>
        <v>-605.06149584160221</v>
      </c>
      <c r="DP155" s="2759">
        <f>'B3 - COVID-19'!K155</f>
        <v>-984.24359865248391</v>
      </c>
      <c r="DQ155" s="2759">
        <f>'B3 - COVID-19'!L155</f>
        <v>-323.13252698581755</v>
      </c>
      <c r="DR155" s="2759">
        <f>'B3 - COVID-19'!M155</f>
        <v>-445.7747846973873</v>
      </c>
      <c r="DS155" s="2759">
        <f>'B3 - COVID-19'!N155</f>
        <v>-556.90242920803939</v>
      </c>
      <c r="DT155" s="2759">
        <f>'B3 - COVID-19'!O155</f>
        <v>-4492.1312351012966</v>
      </c>
      <c r="DU155" s="2760">
        <f>'B3 - COVID-19'!P155</f>
        <v>-5049.033664309336</v>
      </c>
      <c r="DV155" s="608"/>
      <c r="DW155" s="1115"/>
      <c r="LL155" s="813"/>
      <c r="LM155" s="818"/>
      <c r="LN155" s="819"/>
      <c r="LO155" s="820"/>
      <c r="LP155" s="820"/>
      <c r="LQ155" s="821"/>
      <c r="LR155" s="820"/>
      <c r="LS155" s="822"/>
      <c r="LT155" s="822"/>
      <c r="LU155" s="813"/>
      <c r="LV155" s="813"/>
      <c r="LX155" s="3160" t="str">
        <f>'N - GMS'!A155</f>
        <v>LHB Locality group costs</v>
      </c>
      <c r="LY155" s="3161"/>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49999999999999"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49999999999999"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131132.44</v>
      </c>
      <c r="LT157" s="1025">
        <f>'M - Aged Debtors'!I157</f>
        <v>0</v>
      </c>
      <c r="LU157" s="813"/>
      <c r="LV157" s="813"/>
      <c r="LX157" s="3160" t="str">
        <f>'N - GMS'!A157</f>
        <v>Primary Care Initiatives</v>
      </c>
      <c r="LY157" s="3161"/>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49999999999999"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0</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0</v>
      </c>
      <c r="DU158" s="2755">
        <f>'B3 - COVID-19'!P158</f>
        <v>0</v>
      </c>
      <c r="DV158" s="608"/>
      <c r="DW158" s="1115"/>
      <c r="LL158" s="813"/>
      <c r="LM158" s="818"/>
      <c r="LN158" s="819"/>
      <c r="LO158" s="820"/>
      <c r="LP158" s="820"/>
      <c r="LQ158" s="821"/>
      <c r="LR158" s="820"/>
      <c r="LS158" s="822"/>
      <c r="LT158" s="822"/>
      <c r="LU158" s="813"/>
      <c r="LV158" s="813"/>
      <c r="LX158" s="3160" t="str">
        <f>'N - GMS'!A158</f>
        <v>Salaried GP costs</v>
      </c>
      <c r="LY158" s="3161"/>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49999999999999"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1.900000000887303E-4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1.900000000887303E-4</v>
      </c>
      <c r="DU159" s="2760">
        <f>'B3 - COVID-19'!P159</f>
        <v>1.900000000887303E-4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49999999999999"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160" t="str">
        <f>'N - GMS'!A160</f>
        <v>Training</v>
      </c>
      <c r="LY160" s="3161"/>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49999999999999"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160" t="str">
        <f>'N - GMS'!A161</f>
        <v>Translation fees</v>
      </c>
      <c r="LY161" s="3161"/>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49999999999999"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162" t="str">
        <f>'N - GMS'!A162</f>
        <v>COVID vaccination payments to GP practices</v>
      </c>
      <c r="LY162" s="3163"/>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49999999999999"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014"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162">
        <f>'N - GMS'!A163</f>
        <v>0</v>
      </c>
      <c r="LY163" s="3163"/>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49999999999999"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015"/>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162">
        <f>'N - GMS'!A164</f>
        <v>0</v>
      </c>
      <c r="LY164" s="3163"/>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49999999999999"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162">
        <f>'N - GMS'!A165</f>
        <v>0</v>
      </c>
      <c r="LY165" s="3163"/>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49999999999999"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162">
        <f>'N - GMS'!A166</f>
        <v>0</v>
      </c>
      <c r="LY166" s="3163"/>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49999999999999"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43.627660000000006</v>
      </c>
      <c r="DM167" s="2716">
        <f>'B3 - COVID-19'!X23</f>
        <v>43.62762</v>
      </c>
      <c r="DN167" s="2716">
        <f>'B3 - COVID-19'!Y23</f>
        <v>43.62764</v>
      </c>
      <c r="DO167" s="2716">
        <f>'B3 - COVID-19'!Z23</f>
        <v>43.627660000000006</v>
      </c>
      <c r="DP167" s="2716">
        <f>'B3 - COVID-19'!AA23</f>
        <v>43.627629999999996</v>
      </c>
      <c r="DQ167" s="2716">
        <f>'B3 - COVID-19'!AB23</f>
        <v>49.340620000000001</v>
      </c>
      <c r="DR167" s="2716">
        <f>'B3 - COVID-19'!AC23</f>
        <v>38.32441</v>
      </c>
      <c r="DS167" s="2716">
        <f>'B3 - COVID-19'!AD23</f>
        <v>44.037379999999999</v>
      </c>
      <c r="DT167" s="1862">
        <f>'B3 - COVID-19'!AE23</f>
        <v>480.31377999999995</v>
      </c>
      <c r="DU167" s="1862">
        <f>'B3 - COVID-19'!AF23</f>
        <v>524.35115999999994</v>
      </c>
      <c r="DV167" s="1115"/>
      <c r="DW167" s="1115"/>
      <c r="LL167" s="813"/>
      <c r="LM167" s="818"/>
      <c r="LN167" s="819"/>
      <c r="LO167" s="820"/>
      <c r="LP167" s="820"/>
      <c r="LQ167" s="821"/>
      <c r="LR167" s="820"/>
      <c r="LS167" s="822"/>
      <c r="LT167" s="822"/>
      <c r="LU167" s="813"/>
      <c r="LV167" s="813"/>
      <c r="LX167" s="3162">
        <f>'N - GMS'!A167</f>
        <v>0</v>
      </c>
      <c r="LY167" s="3163"/>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49999999999999"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706.86956999999995</v>
      </c>
      <c r="DK168" s="2716">
        <f>'B3 - COVID-19'!V24</f>
        <v>537.04047000000003</v>
      </c>
      <c r="DL168" s="2716">
        <f>'B3 - COVID-19'!W24</f>
        <v>680.51191000000006</v>
      </c>
      <c r="DM168" s="2716">
        <f>'B3 - COVID-19'!X24</f>
        <v>506.77605</v>
      </c>
      <c r="DN168" s="2716">
        <f>'B3 - COVID-19'!Y24</f>
        <v>829.7471700000001</v>
      </c>
      <c r="DO168" s="2716">
        <f>'B3 - COVID-19'!Z24</f>
        <v>471.8843</v>
      </c>
      <c r="DP168" s="2716">
        <f>'B3 - COVID-19'!AA24</f>
        <v>628.60771999999997</v>
      </c>
      <c r="DQ168" s="2716">
        <f>'B3 - COVID-19'!AB24</f>
        <v>623.99414999999999</v>
      </c>
      <c r="DR168" s="2716">
        <f>'B3 - COVID-19'!AC24</f>
        <v>603.45462999999995</v>
      </c>
      <c r="DS168" s="2716">
        <f>'B3 - COVID-19'!AD24</f>
        <v>623.73983999999996</v>
      </c>
      <c r="DT168" s="1862">
        <f>'B3 - COVID-19'!AE24</f>
        <v>6904.0818500000005</v>
      </c>
      <c r="DU168" s="1862">
        <f>'B3 - COVID-19'!AF24</f>
        <v>7527.8216900000007</v>
      </c>
      <c r="DV168" s="1115"/>
      <c r="DW168" s="1115"/>
      <c r="LL168" s="813"/>
      <c r="LM168" s="818"/>
      <c r="LN168" s="819"/>
      <c r="LO168" s="820"/>
      <c r="LP168" s="820"/>
      <c r="LQ168" s="821"/>
      <c r="LR168" s="820"/>
      <c r="LS168" s="822"/>
      <c r="LT168" s="822"/>
      <c r="LU168" s="813"/>
      <c r="LV168" s="813"/>
      <c r="LX168" s="3162">
        <f>'N - GMS'!A168</f>
        <v>0</v>
      </c>
      <c r="LY168" s="3163"/>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49999999999999"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22.490669999999998</v>
      </c>
      <c r="DM169" s="2716">
        <f>'B3 - COVID-19'!X25</f>
        <v>4.4910200000000007</v>
      </c>
      <c r="DN169" s="2716">
        <f>'B3 - COVID-19'!Y25</f>
        <v>4.2580200000000001</v>
      </c>
      <c r="DO169" s="2716">
        <f>'B3 - COVID-19'!Z25</f>
        <v>-2.5831999999999997</v>
      </c>
      <c r="DP169" s="2716">
        <f>'B3 - COVID-19'!AA25</f>
        <v>4.8153999999999995</v>
      </c>
      <c r="DQ169" s="2716">
        <f>'B3 - COVID-19'!AB25</f>
        <v>-8.6778200000000005</v>
      </c>
      <c r="DR169" s="2716">
        <f>'B3 - COVID-19'!AC25</f>
        <v>-0.12318000000000001</v>
      </c>
      <c r="DS169" s="2716">
        <f>'B3 - COVID-19'!AD25</f>
        <v>5</v>
      </c>
      <c r="DT169" s="1862">
        <f>'B3 - COVID-19'!AE25</f>
        <v>104.89657</v>
      </c>
      <c r="DU169" s="1862">
        <f>'B3 - COVID-19'!AF25</f>
        <v>109.89657</v>
      </c>
      <c r="DV169" s="2593"/>
      <c r="DW169" s="2593"/>
      <c r="LL169" s="813"/>
      <c r="LM169" s="818"/>
      <c r="LN169" s="819"/>
      <c r="LO169" s="820"/>
      <c r="LP169" s="820"/>
      <c r="LQ169" s="821"/>
      <c r="LR169" s="820"/>
      <c r="LS169" s="822"/>
      <c r="LT169" s="822"/>
      <c r="LU169" s="813"/>
      <c r="LV169" s="813"/>
      <c r="LX169" s="3162">
        <f>'N - GMS'!A169</f>
        <v>0</v>
      </c>
      <c r="LY169" s="3163"/>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49999999999999"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-0.17215</v>
      </c>
      <c r="DM170" s="2716">
        <f>'B3 - COVID-19'!X26</f>
        <v>2.3000000000000001E-4</v>
      </c>
      <c r="DN170" s="2716">
        <f>'B3 - COVID-19'!Y26</f>
        <v>-2.7E-4</v>
      </c>
      <c r="DO170" s="2716">
        <f>'B3 - COVID-19'!Z26</f>
        <v>6.3000000000000003E-4</v>
      </c>
      <c r="DP170" s="2716">
        <f>'B3 - COVID-19'!AA26</f>
        <v>0</v>
      </c>
      <c r="DQ170" s="2716">
        <f>'B3 - COVID-19'!AB26</f>
        <v>0</v>
      </c>
      <c r="DR170" s="2716">
        <f>'B3 - COVID-19'!AC26</f>
        <v>-2.0000000000000002E-5</v>
      </c>
      <c r="DS170" s="2716">
        <f>'B3 - COVID-19'!AD26</f>
        <v>0</v>
      </c>
      <c r="DT170" s="1862">
        <f>'B3 - COVID-19'!AE26</f>
        <v>5.9641999999999991</v>
      </c>
      <c r="DU170" s="1862">
        <f>'B3 - COVID-19'!AF26</f>
        <v>5.9641999999999991</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49999999999999"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50.44294</v>
      </c>
      <c r="DM171" s="2716">
        <f>'B3 - COVID-19'!X27</f>
        <v>75.466660000000005</v>
      </c>
      <c r="DN171" s="2716">
        <f>'B3 - COVID-19'!Y27</f>
        <v>80.71463</v>
      </c>
      <c r="DO171" s="2716">
        <f>'B3 - COVID-19'!Z27</f>
        <v>110.26105</v>
      </c>
      <c r="DP171" s="2716">
        <f>'B3 - COVID-19'!AA27</f>
        <v>121.87941000000001</v>
      </c>
      <c r="DQ171" s="2716">
        <f>'B3 - COVID-19'!AB27</f>
        <v>100.05352999999999</v>
      </c>
      <c r="DR171" s="2716">
        <f>'B3 - COVID-19'!AC27</f>
        <v>98.89546</v>
      </c>
      <c r="DS171" s="2716">
        <f>'B3 - COVID-19'!AD27</f>
        <v>101.51111</v>
      </c>
      <c r="DT171" s="1862">
        <f>'B3 - COVID-19'!AE27</f>
        <v>821.54992000000004</v>
      </c>
      <c r="DU171" s="1862">
        <f>'B3 - COVID-19'!AF27</f>
        <v>923.06103000000007</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49999999999999"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34.03</v>
      </c>
      <c r="DM172" s="2716">
        <f>'B3 - COVID-19'!X28</f>
        <v>35.165080000000003</v>
      </c>
      <c r="DN172" s="2716">
        <f>'B3 - COVID-19'!Y28</f>
        <v>34.942140000000002</v>
      </c>
      <c r="DO172" s="2716">
        <f>'B3 - COVID-19'!Z28</f>
        <v>20.9559</v>
      </c>
      <c r="DP172" s="2716">
        <f>'B3 - COVID-19'!AA28</f>
        <v>32.581000000000003</v>
      </c>
      <c r="DQ172" s="2716">
        <f>'B3 - COVID-19'!AB28</f>
        <v>44.671699999999994</v>
      </c>
      <c r="DR172" s="2716">
        <f>'B3 - COVID-19'!AC28</f>
        <v>16.028209999999998</v>
      </c>
      <c r="DS172" s="2716">
        <f>'B3 - COVID-19'!AD28</f>
        <v>28.7</v>
      </c>
      <c r="DT172" s="1862">
        <f>'B3 - COVID-19'!AE28</f>
        <v>318.65886</v>
      </c>
      <c r="DU172" s="1862">
        <f>'B3 - COVID-19'!AF28</f>
        <v>347.35885999999999</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49999999999999" customHeight="1" thickBot="1">
      <c r="BX173" s="84"/>
      <c r="BY173" s="3049"/>
      <c r="BZ173" s="3049"/>
      <c r="CA173" s="3049"/>
      <c r="CB173" s="3049"/>
      <c r="CC173" s="3049"/>
      <c r="CD173" s="3049"/>
      <c r="CE173" s="3049"/>
      <c r="CF173" s="3049"/>
      <c r="CG173" s="3049"/>
      <c r="CH173" s="3049"/>
      <c r="CI173" s="3049"/>
      <c r="CJ173" s="3049"/>
      <c r="CK173" s="3049"/>
      <c r="CL173" s="3049"/>
      <c r="CM173" s="3049"/>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1.85625</v>
      </c>
      <c r="DM173" s="2716">
        <f>'B3 - COVID-19'!X29</f>
        <v>2.8786400000000003</v>
      </c>
      <c r="DN173" s="2716">
        <f>'B3 - COVID-19'!Y29</f>
        <v>3.3289899999999997</v>
      </c>
      <c r="DO173" s="2716">
        <f>'B3 - COVID-19'!Z29</f>
        <v>5.9004000000000003</v>
      </c>
      <c r="DP173" s="2716">
        <f>'B3 - COVID-19'!AA29</f>
        <v>13.109150000000001</v>
      </c>
      <c r="DQ173" s="2716">
        <f>'B3 - COVID-19'!AB29</f>
        <v>30.372779999999999</v>
      </c>
      <c r="DR173" s="2716">
        <f>'B3 - COVID-19'!AC29</f>
        <v>17.958880000000001</v>
      </c>
      <c r="DS173" s="2716">
        <f>'B3 - COVID-19'!AD29</f>
        <v>36.25</v>
      </c>
      <c r="DT173" s="1862">
        <f>'B3 - COVID-19'!AE29</f>
        <v>79.825890000000001</v>
      </c>
      <c r="DU173" s="1862">
        <f>'B3 - COVID-19'!AF29</f>
        <v>116.07589</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49999999999999"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t="str">
        <f>'B3 - COVID-19'!R30</f>
        <v>Tarian Development</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0</v>
      </c>
      <c r="DR174" s="2716">
        <f>'B3 - COVID-19'!AC30</f>
        <v>0</v>
      </c>
      <c r="DS174" s="2716">
        <f>'B3 - COVID-19'!AD30</f>
        <v>104.88</v>
      </c>
      <c r="DT174" s="1862">
        <f>'B3 - COVID-19'!AE30</f>
        <v>0</v>
      </c>
      <c r="DU174" s="1862">
        <f>'B3 - COVID-19'!AF30</f>
        <v>104.88</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49999999999999"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t="str">
        <f>'B3 - COVID-19'!R31</f>
        <v>HP Team Covid-19</v>
      </c>
      <c r="DH175" s="2716">
        <f>'B3 - COVID-19'!S31</f>
        <v>0</v>
      </c>
      <c r="DI175" s="2716">
        <f>'B3 - COVID-19'!T31</f>
        <v>0</v>
      </c>
      <c r="DJ175" s="2716">
        <f>'B3 - COVID-19'!U31</f>
        <v>1.7000000000000001E-4</v>
      </c>
      <c r="DK175" s="2716">
        <f>'B3 - COVID-19'!V31</f>
        <v>0</v>
      </c>
      <c r="DL175" s="2716">
        <f>'B3 - COVID-19'!W31</f>
        <v>0</v>
      </c>
      <c r="DM175" s="2716">
        <f>'B3 - COVID-19'!X31</f>
        <v>0</v>
      </c>
      <c r="DN175" s="2716">
        <f>'B3 - COVID-19'!Y31</f>
        <v>0</v>
      </c>
      <c r="DO175" s="2716">
        <f>'B3 - COVID-19'!Z31</f>
        <v>-3.3479999999999996E-2</v>
      </c>
      <c r="DP175" s="2716">
        <f>'B3 - COVID-19'!AA31</f>
        <v>0.39</v>
      </c>
      <c r="DQ175" s="2716">
        <f>'B3 - COVID-19'!AB31</f>
        <v>0</v>
      </c>
      <c r="DR175" s="2716">
        <f>'B3 - COVID-19'!AC31</f>
        <v>0</v>
      </c>
      <c r="DS175" s="2716">
        <f>'B3 - COVID-19'!AD31</f>
        <v>0</v>
      </c>
      <c r="DT175" s="1862">
        <f>'B3 - COVID-19'!AE31</f>
        <v>0.35669000000000001</v>
      </c>
      <c r="DU175" s="1862">
        <f>'B3 - COVID-19'!AF31</f>
        <v>0.35669000000000001</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49999999999999"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t="str">
        <f>'B3 - COVID-19'!R32</f>
        <v>Winter Communications Campaign</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1.1279999999999999</v>
      </c>
      <c r="DQ176" s="2716">
        <f>'B3 - COVID-19'!AB32</f>
        <v>8.7455999999999996</v>
      </c>
      <c r="DR176" s="2716">
        <f>'B3 - COVID-19'!AC32</f>
        <v>0</v>
      </c>
      <c r="DS176" s="2716">
        <f>'B3 - COVID-19'!AD32</f>
        <v>96</v>
      </c>
      <c r="DT176" s="1862">
        <f>'B3 - COVID-19'!AE32</f>
        <v>9.8735999999999997</v>
      </c>
      <c r="DU176" s="1862">
        <f>'B3 - COVID-19'!AF32</f>
        <v>105.8736</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49999999999999"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49999999999999"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832.78728000000012</v>
      </c>
      <c r="DM178" s="2717">
        <f>'B3 - COVID-19'!X34</f>
        <v>668.40530000000012</v>
      </c>
      <c r="DN178" s="2717">
        <f>'B3 - COVID-19'!Y34</f>
        <v>996.61832000000015</v>
      </c>
      <c r="DO178" s="2717">
        <f>'B3 - COVID-19'!Z34</f>
        <v>650.01325999999995</v>
      </c>
      <c r="DP178" s="2717">
        <f>'B3 - COVID-19'!AA34</f>
        <v>846.13830999999993</v>
      </c>
      <c r="DQ178" s="2717">
        <f>'B3 - COVID-19'!AB34</f>
        <v>848.50055999999995</v>
      </c>
      <c r="DR178" s="2717">
        <f>'B3 - COVID-19'!AC34</f>
        <v>774.53838999999982</v>
      </c>
      <c r="DS178" s="2717">
        <f>'B3 - COVID-19'!AD34</f>
        <v>1040.11833</v>
      </c>
      <c r="DT178" s="2717">
        <f>'B3 - COVID-19'!AE34</f>
        <v>8725.5213600000025</v>
      </c>
      <c r="DU178" s="2717">
        <f>'B3 - COVID-19'!AF34</f>
        <v>9765.6396900000018</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170" t="str">
        <f>'N - GMS'!A181</f>
        <v>All other Premises (please detail below which should reconcile to line 146)</v>
      </c>
      <c r="LY181" s="3171"/>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49999999999999"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49999999999999"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49999999999999"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49999999999999"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164">
        <f>'N - GMS'!A185</f>
        <v>0</v>
      </c>
      <c r="LY185" s="3165"/>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49999999999999"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164">
        <f>'N - GMS'!A186</f>
        <v>0</v>
      </c>
      <c r="LY186" s="3165"/>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49999999999999"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164">
        <f>'N - GMS'!A187</f>
        <v>0</v>
      </c>
      <c r="LY187" s="3165"/>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49999999999999"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164">
        <f>'N - GMS'!A188</f>
        <v>0</v>
      </c>
      <c r="LY188" s="3165"/>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49999999999999"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164">
        <f>'N - GMS'!A189</f>
        <v>0</v>
      </c>
      <c r="LY189" s="3165"/>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49999999999999"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164">
        <f>'N - GMS'!A190</f>
        <v>0</v>
      </c>
      <c r="LY190" s="3165"/>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49999999999999"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166">
        <f>'N - GMS'!A191</f>
        <v>0</v>
      </c>
      <c r="LY191" s="3167"/>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49999999999999"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49999999999999"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49999999999999"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2998.5833333333326</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49999999999999"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2998.5833333333326</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49999999999999"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49999999999999"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49999999999999"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49999999999999"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168"/>
      <c r="LY199" s="3168"/>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49999999999999"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169" t="str">
        <f>'N - GMS'!A200</f>
        <v xml:space="preserve">GENERAL MEDICAL SERVICES </v>
      </c>
      <c r="LY200" s="3169"/>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49999999999999"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169" t="str">
        <f>'N - GMS'!A201</f>
        <v xml:space="preserve">Dispensing </v>
      </c>
      <c r="LY201" s="3169"/>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49999999999999"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-2998.5833333333326</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168"/>
      <c r="LY202" s="3168"/>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49999999999999"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148"/>
      <c r="MB203" s="3148"/>
      <c r="MC203" s="3148"/>
      <c r="MD203" s="3148"/>
      <c r="ME203" s="3149"/>
      <c r="MF203" s="3148"/>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49999999999999"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-2998.5833333333326</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49999999999999"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49999999999999"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9.01</v>
      </c>
      <c r="CH206" s="1283">
        <f>' Table Z Net Exp Profiles'!K206</f>
        <v>0</v>
      </c>
      <c r="CI206" s="1283">
        <f>' Table Z Net Exp Profiles'!L206</f>
        <v>0</v>
      </c>
      <c r="CJ206" s="1283">
        <f>' Table Z Net Exp Profiles'!M206</f>
        <v>0</v>
      </c>
      <c r="CK206" s="1284">
        <f>' Table Z Net Exp Profiles'!N206</f>
        <v>0</v>
      </c>
      <c r="CL206" s="1231">
        <f>' Table Z Net Exp Profiles'!O206</f>
        <v>9.01</v>
      </c>
      <c r="CM206" s="1100">
        <f>' Table Z Net Exp Profiles'!P206</f>
        <v>9.01</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49999999999999"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49999999999999"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49999999999999"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176" t="str">
        <f>'N - GMS'!A209</f>
        <v>Prescribing  Medical  Practitioners - Personal Administration</v>
      </c>
      <c r="LY209" s="3177"/>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49999999999999"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49999999999999"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679.58999999999992</v>
      </c>
      <c r="CE212" s="1109">
        <f>' Table Z Net Exp Profiles'!H212</f>
        <v>571.89</v>
      </c>
      <c r="CF212" s="1109">
        <f>' Table Z Net Exp Profiles'!I212</f>
        <v>571.89</v>
      </c>
      <c r="CG212" s="1109">
        <f>' Table Z Net Exp Profiles'!J212</f>
        <v>530.29</v>
      </c>
      <c r="CH212" s="1109">
        <f>' Table Z Net Exp Profiles'!K212</f>
        <v>557.04</v>
      </c>
      <c r="CI212" s="1109">
        <f>' Table Z Net Exp Profiles'!L212</f>
        <v>556.29</v>
      </c>
      <c r="CJ212" s="1109">
        <f>' Table Z Net Exp Profiles'!M212</f>
        <v>622.62</v>
      </c>
      <c r="CK212" s="1109">
        <f>' Table Z Net Exp Profiles'!N212</f>
        <v>912.42</v>
      </c>
      <c r="CL212" s="1109">
        <f>' Table Z Net Exp Profiles'!O212</f>
        <v>6270.0809999999992</v>
      </c>
      <c r="CM212" s="1100">
        <f>' Table Z Net Exp Profiles'!P212</f>
        <v>7182.5009999999993</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49999999999999"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49999999999999"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49999999999999"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49999999999999"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179">
        <f>'N - GMS'!D219</f>
        <v>0</v>
      </c>
      <c r="MB219" s="3180"/>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49999999999999"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172">
        <f>'N - GMS'!A220</f>
        <v>0</v>
      </c>
      <c r="LY220" s="3173"/>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49999999999999"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172">
        <f>'N - GMS'!A221</f>
        <v>0</v>
      </c>
      <c r="LY221" s="3173"/>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49999999999999"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172">
        <f>'N - GMS'!A222</f>
        <v>0</v>
      </c>
      <c r="LY222" s="3173"/>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49999999999999"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172">
        <f>'N - GMS'!A223</f>
        <v>0</v>
      </c>
      <c r="LY223" s="3173"/>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49999999999999"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172">
        <f>'N - GMS'!A224</f>
        <v>0</v>
      </c>
      <c r="LY224" s="3173"/>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49999999999999"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172">
        <f>'N - GMS'!A225</f>
        <v>0</v>
      </c>
      <c r="LY225" s="3173"/>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49999999999999"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19905</v>
      </c>
      <c r="CE226" s="1282">
        <f>' Table Z Net Exp Profiles'!H226</f>
        <v>19813</v>
      </c>
      <c r="CF226" s="1282">
        <f>' Table Z Net Exp Profiles'!I226</f>
        <v>20654</v>
      </c>
      <c r="CG226" s="1282">
        <f>' Table Z Net Exp Profiles'!J226</f>
        <v>20208</v>
      </c>
      <c r="CH226" s="1282">
        <f>' Table Z Net Exp Profiles'!K226</f>
        <v>15491</v>
      </c>
      <c r="CI226" s="1282">
        <f>' Table Z Net Exp Profiles'!L226</f>
        <v>20919</v>
      </c>
      <c r="CJ226" s="1282">
        <f>' Table Z Net Exp Profiles'!M226</f>
        <v>13201</v>
      </c>
      <c r="CK226" s="1282">
        <f>' Table Z Net Exp Profiles'!N226</f>
        <v>25808.661746666665</v>
      </c>
      <c r="CL226" s="1231">
        <f>' Table Z Net Exp Profiles'!O226</f>
        <v>206726</v>
      </c>
      <c r="CM226" s="1100">
        <f>' Table Z Net Exp Profiles'!P226</f>
        <v>232534.66174666665</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172">
        <f>'N - GMS'!A226</f>
        <v>0</v>
      </c>
      <c r="LY226" s="3173"/>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49999999999999"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172">
        <f>'N - GMS'!A227</f>
        <v>0</v>
      </c>
      <c r="LY227" s="3173"/>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49999999999999"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172">
        <f>'N - GMS'!A228</f>
        <v>0</v>
      </c>
      <c r="LY228" s="3173"/>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49999999999999"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172">
        <f>'N - GMS'!A229</f>
        <v>0</v>
      </c>
      <c r="LY229" s="3173"/>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49999999999999"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172">
        <f>'N - GMS'!A230</f>
        <v>0</v>
      </c>
      <c r="LY230" s="3173"/>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49999999999999"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172">
        <f>'N - GMS'!A231</f>
        <v>0</v>
      </c>
      <c r="LY231" s="3173"/>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172">
        <f>'N - GMS'!A232</f>
        <v>0</v>
      </c>
      <c r="LY232" s="3173"/>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172">
        <f>'N - GMS'!A233</f>
        <v>0</v>
      </c>
      <c r="LY233" s="3173"/>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172">
        <f>'N - GMS'!A234</f>
        <v>0</v>
      </c>
      <c r="LY234" s="3173"/>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49999999999999"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172">
        <f>'N - GMS'!A235</f>
        <v>0</v>
      </c>
      <c r="LY235" s="3173"/>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49999999999999"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174">
        <f>'N - GMS'!A236</f>
        <v>0</v>
      </c>
      <c r="LY236" s="3175"/>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49999999999999"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49999999999999"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49999999999999"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49999999999999"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49999999999999"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49999999999999"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49999999999999"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49999999999999"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49999999999999"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49999999999999"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49999999999999"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49999999999999"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49999999999999"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49999999999999" customHeight="1">
      <c r="DF258" s="2593"/>
      <c r="DG258" s="3016"/>
      <c r="DH258" s="2783"/>
      <c r="DI258" s="2783"/>
      <c r="DJ258" s="2783"/>
      <c r="DK258" s="2783"/>
      <c r="DL258" s="2783"/>
      <c r="DM258" s="2783"/>
      <c r="DN258" s="2783"/>
      <c r="DO258" s="2783"/>
      <c r="DP258" s="2783"/>
      <c r="DQ258" s="2783"/>
      <c r="DR258" s="2783"/>
      <c r="DS258" s="2783"/>
      <c r="DT258" s="2783"/>
      <c r="DU258" s="2783"/>
      <c r="DV258" s="2593"/>
      <c r="DW258" s="2593"/>
    </row>
    <row r="259" spans="110:127" ht="20.149999999999999" customHeight="1">
      <c r="DF259" s="2593"/>
      <c r="DG259" s="3017"/>
      <c r="DH259" s="2783"/>
      <c r="DI259" s="2783"/>
      <c r="DJ259" s="2783"/>
      <c r="DK259" s="2783"/>
      <c r="DL259" s="2783"/>
      <c r="DM259" s="2783"/>
      <c r="DN259" s="2783"/>
      <c r="DO259" s="2783"/>
      <c r="DP259" s="2783"/>
      <c r="DQ259" s="2783"/>
      <c r="DR259" s="2783"/>
      <c r="DS259" s="2783"/>
      <c r="DT259" s="2783"/>
      <c r="DU259" s="2783"/>
      <c r="DV259" s="2593"/>
      <c r="DW259" s="2593"/>
    </row>
    <row r="260" spans="110:127" ht="20.149999999999999"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49999999999999"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49999999999999"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49999999999999"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49999999999999"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49999999999999"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49999999999999"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49999999999999"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49999999999999"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49999999999999"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49999999999999"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49999999999999"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49999999999999"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49999999999999"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topLeftCell="B1" zoomScale="110" zoomScaleNormal="110" workbookViewId="0">
      <selection activeCell="N33" sqref="N33"/>
    </sheetView>
  </sheetViews>
  <sheetFormatPr defaultColWidth="8.69140625" defaultRowHeight="12.5"/>
  <cols>
    <col min="1" max="1" width="5.69140625" style="9" customWidth="1"/>
    <col min="2" max="2" width="47.69140625" style="9" customWidth="1"/>
    <col min="3" max="15" width="10.4609375" style="9" customWidth="1"/>
    <col min="16" max="17" width="8.69140625" style="757"/>
    <col min="18" max="18" width="49" style="757" bestFit="1" customWidth="1"/>
    <col min="19" max="19" width="63.23046875" style="757" customWidth="1"/>
    <col min="20" max="16384" width="8.69140625" style="9"/>
  </cols>
  <sheetData>
    <row r="1" spans="1:37" ht="37.5" customHeight="1">
      <c r="A1" s="1357" t="str">
        <f>+Summary!A1</f>
        <v>Public Health Wales Trust</v>
      </c>
      <c r="B1" s="373"/>
      <c r="C1" s="80"/>
      <c r="D1" s="373" t="s">
        <v>460</v>
      </c>
      <c r="E1" s="1303" t="str">
        <f>Summary!H1</f>
        <v>Feb 24</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ht="13">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11</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2"/>
      <c r="C6" s="107">
        <f t="shared" ref="C6:M6" si="0">IF(C7&lt;=$C$5,1,0)</f>
        <v>1</v>
      </c>
      <c r="D6" s="107">
        <f t="shared" si="0"/>
        <v>1</v>
      </c>
      <c r="E6" s="107">
        <f t="shared" si="0"/>
        <v>1</v>
      </c>
      <c r="F6" s="107">
        <f t="shared" si="0"/>
        <v>1</v>
      </c>
      <c r="G6" s="107">
        <f t="shared" si="0"/>
        <v>1</v>
      </c>
      <c r="H6" s="107">
        <f t="shared" si="0"/>
        <v>1</v>
      </c>
      <c r="I6" s="107">
        <f t="shared" si="0"/>
        <v>1</v>
      </c>
      <c r="J6" s="107">
        <f t="shared" si="0"/>
        <v>1</v>
      </c>
      <c r="K6" s="107">
        <f t="shared" si="0"/>
        <v>1</v>
      </c>
      <c r="L6" s="107">
        <f t="shared" si="0"/>
        <v>1</v>
      </c>
      <c r="M6" s="107">
        <f t="shared" si="0"/>
        <v>1</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5"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ht="13">
      <c r="A10" s="1327">
        <v>1</v>
      </c>
      <c r="B10" s="1331" t="s">
        <v>425</v>
      </c>
      <c r="C10" s="1329">
        <f>5444+SUM($C33:C33)+1</f>
        <v>5594</v>
      </c>
      <c r="D10" s="1326">
        <f>11418-C10</f>
        <v>5824</v>
      </c>
      <c r="E10" s="1326">
        <f>19520-SUM(C10:D10)</f>
        <v>8102</v>
      </c>
      <c r="F10" s="1326">
        <f>26554-SUM(C10:E10)-1</f>
        <v>7033</v>
      </c>
      <c r="G10" s="1326">
        <f>33308-SUM($C10:F10)</f>
        <v>6755</v>
      </c>
      <c r="H10" s="1326">
        <f>39853-SUM($C10:G10)-1</f>
        <v>6544</v>
      </c>
      <c r="I10" s="1326">
        <f>46355-SUM($C10:H10)</f>
        <v>6503</v>
      </c>
      <c r="J10" s="1326">
        <f>52896-SUM($C10:I10)+1</f>
        <v>6542</v>
      </c>
      <c r="K10" s="1326">
        <f>59732-SUM($C10:J10)</f>
        <v>6835</v>
      </c>
      <c r="L10" s="1326">
        <f>66432-SUM($C10:K10)+1</f>
        <v>6701</v>
      </c>
      <c r="M10" s="1326">
        <f>69373-SUM($C10:L10)-1</f>
        <v>2939</v>
      </c>
      <c r="N10" s="1333">
        <f>('B3 - COVID-19'!N10+'B3 - COVID-19'!N53+'B3 - COVID-19'!N96)+7024+146+1</f>
        <v>7207.5309833333331</v>
      </c>
      <c r="O10" s="1131">
        <f>SUMPRODUCT($C$6:$N$6,C10:N10)</f>
        <v>69372</v>
      </c>
      <c r="P10" s="1322">
        <f>SUM(C10:N10)</f>
        <v>76579.53098333333</v>
      </c>
      <c r="Q10" s="608"/>
      <c r="R10" s="608"/>
      <c r="S10" s="608"/>
      <c r="T10" s="839"/>
      <c r="U10" s="80"/>
      <c r="V10" s="80"/>
      <c r="W10" s="80"/>
      <c r="X10" s="80"/>
      <c r="Y10" s="80"/>
      <c r="Z10" s="80"/>
      <c r="AA10" s="80"/>
      <c r="AB10" s="80"/>
      <c r="AC10" s="80"/>
      <c r="AD10" s="80"/>
      <c r="AE10" s="80"/>
      <c r="AF10" s="80"/>
      <c r="AG10" s="80"/>
      <c r="AH10" s="80"/>
      <c r="AI10" s="80"/>
      <c r="AJ10" s="80"/>
      <c r="AK10" s="80"/>
    </row>
    <row r="11" spans="1:37" ht="13">
      <c r="A11" s="1328">
        <v>2</v>
      </c>
      <c r="B11" s="1332" t="s">
        <v>419</v>
      </c>
      <c r="C11" s="1330">
        <f>1209+SUM($C34:C34)</f>
        <v>1225</v>
      </c>
      <c r="D11" s="1325">
        <f>2447-C11</f>
        <v>1222</v>
      </c>
      <c r="E11" s="1325">
        <f>3796-SUM(C11:D11)</f>
        <v>1349</v>
      </c>
      <c r="F11" s="1325">
        <f>5139-SUM(C11:E11)</f>
        <v>1343</v>
      </c>
      <c r="G11" s="1325">
        <f>6457-SUM($C11:F11)</f>
        <v>1318</v>
      </c>
      <c r="H11" s="1325">
        <f>7766-SUM($C11:G11)</f>
        <v>1309</v>
      </c>
      <c r="I11" s="1325">
        <f>9442-SUM($C11:H11)</f>
        <v>1676</v>
      </c>
      <c r="J11" s="1325">
        <f>10752-SUM($C11:I11)</f>
        <v>1310</v>
      </c>
      <c r="K11" s="1325">
        <f>11986-SUM($C11:J11)</f>
        <v>1234</v>
      </c>
      <c r="L11" s="1325">
        <f>13324-SUM($C11:K11)</f>
        <v>1338</v>
      </c>
      <c r="M11" s="1325">
        <f>14910-SUM($C11:L11)</f>
        <v>1586</v>
      </c>
      <c r="N11" s="1334">
        <v>1545</v>
      </c>
      <c r="O11" s="1323">
        <f t="shared" ref="O11:O18" si="1">SUMPRODUCT($C$6:$N$6,C11:N11)</f>
        <v>14910</v>
      </c>
      <c r="P11" s="1324">
        <f t="shared" ref="P11:P18" si="2">SUM(C11:N11)</f>
        <v>16455</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ht="13">
      <c r="A12" s="1328">
        <v>3</v>
      </c>
      <c r="B12" s="1332" t="s">
        <v>420</v>
      </c>
      <c r="C12" s="1330">
        <f>476+SUM($C35:C35)</f>
        <v>479</v>
      </c>
      <c r="D12" s="1325">
        <f>973-C12</f>
        <v>494</v>
      </c>
      <c r="E12" s="1325">
        <f>1543-SUM(C12:D12)</f>
        <v>570</v>
      </c>
      <c r="F12" s="1325">
        <f>2130-SUM(C12:E12)</f>
        <v>587</v>
      </c>
      <c r="G12" s="1325">
        <f>2643-SUM($C12:F12)</f>
        <v>513</v>
      </c>
      <c r="H12" s="1325">
        <f>3142-SUM($C12:G12)</f>
        <v>499</v>
      </c>
      <c r="I12" s="1325">
        <f>3665-SUM($C12:H12)</f>
        <v>523</v>
      </c>
      <c r="J12" s="1325">
        <f>4209-SUM($C12:I12)</f>
        <v>544</v>
      </c>
      <c r="K12" s="1325">
        <f>4754-SUM($C12:J12)</f>
        <v>545</v>
      </c>
      <c r="L12" s="1325">
        <f>5305-SUM($C12:K12)</f>
        <v>551</v>
      </c>
      <c r="M12" s="1325">
        <f>5861-SUM($C12:L12)</f>
        <v>556</v>
      </c>
      <c r="N12" s="1334">
        <f>'B3 - COVID-19'!N55+498</f>
        <v>520.35308666666663</v>
      </c>
      <c r="O12" s="1323">
        <f t="shared" si="1"/>
        <v>5861</v>
      </c>
      <c r="P12" s="1324">
        <f t="shared" si="2"/>
        <v>6381.353086666667</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8">
        <v>5</v>
      </c>
      <c r="B14" s="1332" t="s">
        <v>422</v>
      </c>
      <c r="C14" s="1330">
        <f>273+SUM($C37:C37)</f>
        <v>290</v>
      </c>
      <c r="D14" s="1325">
        <f>600-C14</f>
        <v>310</v>
      </c>
      <c r="E14" s="1325">
        <f>1019-SUM(C14:D14)</f>
        <v>419</v>
      </c>
      <c r="F14" s="1325">
        <f>1384-SUM(C14:E14)</f>
        <v>365</v>
      </c>
      <c r="G14" s="1325">
        <f>1708-SUM($C14:F14)</f>
        <v>324</v>
      </c>
      <c r="H14" s="1325">
        <f>2012-SUM($C14:G14)</f>
        <v>304</v>
      </c>
      <c r="I14" s="1325">
        <f>2318-SUM($C14:H14)</f>
        <v>306</v>
      </c>
      <c r="J14" s="1325">
        <f>2612-SUM($C14:I14)</f>
        <v>294</v>
      </c>
      <c r="K14" s="1325">
        <f>2898-SUM($C14:J14)</f>
        <v>286</v>
      </c>
      <c r="L14" s="1325">
        <f>3192-SUM($C14:K14)</f>
        <v>294</v>
      </c>
      <c r="M14" s="1325">
        <f>3500-SUM($C14:L14)</f>
        <v>308</v>
      </c>
      <c r="N14" s="1325">
        <f>('B3 - COVID-19'!N14+'B3 - COVID-19'!N57+'B3 - COVID-19'!N100)+309</f>
        <v>311.88733000000002</v>
      </c>
      <c r="O14" s="1323">
        <f t="shared" si="1"/>
        <v>3500</v>
      </c>
      <c r="P14" s="1324">
        <f t="shared" si="2"/>
        <v>3811.88733</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8">
        <v>6</v>
      </c>
      <c r="B15" s="1332" t="s">
        <v>364</v>
      </c>
      <c r="C15" s="1330">
        <f>968+SUM($C38:C38)</f>
        <v>968</v>
      </c>
      <c r="D15" s="1325">
        <f>1998-C15</f>
        <v>1030</v>
      </c>
      <c r="E15" s="1325">
        <f>3289-SUM(C15:D15)</f>
        <v>1291</v>
      </c>
      <c r="F15" s="1325">
        <f>4431-SUM(C15:E15)</f>
        <v>1142</v>
      </c>
      <c r="G15" s="1325">
        <f>5429-SUM($C15:F15)</f>
        <v>998</v>
      </c>
      <c r="H15" s="1325">
        <f>6413-SUM($C15:G15)</f>
        <v>984</v>
      </c>
      <c r="I15" s="1325">
        <f>7398-SUM($C15:H15)</f>
        <v>985</v>
      </c>
      <c r="J15" s="1325">
        <f>8404-SUM($C15:I15)</f>
        <v>1006</v>
      </c>
      <c r="K15" s="1325">
        <f>9400-SUM($C15:J15)</f>
        <v>996</v>
      </c>
      <c r="L15" s="1325">
        <f>10398-SUM($C15:K15)</f>
        <v>998</v>
      </c>
      <c r="M15" s="1325">
        <f>11399-SUM($C15:L15)</f>
        <v>1001</v>
      </c>
      <c r="N15" s="1334">
        <v>1183</v>
      </c>
      <c r="O15" s="1323">
        <f t="shared" si="1"/>
        <v>11399</v>
      </c>
      <c r="P15" s="1324">
        <f t="shared" si="2"/>
        <v>12582</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8">
        <v>7</v>
      </c>
      <c r="B16" s="1332" t="s">
        <v>423</v>
      </c>
      <c r="C16" s="1330">
        <f>1501+SUM($C39:C39)</f>
        <v>1591</v>
      </c>
      <c r="D16" s="1325">
        <f>3267-C16</f>
        <v>1676</v>
      </c>
      <c r="E16" s="1325">
        <f>5226-SUM(C16:D16)</f>
        <v>1959</v>
      </c>
      <c r="F16" s="1325">
        <f>7097-SUM(C16:E16)</f>
        <v>1871</v>
      </c>
      <c r="G16" s="1325">
        <f>8758-SUM($C16:F16)</f>
        <v>1661</v>
      </c>
      <c r="H16" s="1325">
        <f>10377-SUM($C16:G16)</f>
        <v>1619</v>
      </c>
      <c r="I16" s="1325">
        <f>12026-SUM($C16:H16)</f>
        <v>1649</v>
      </c>
      <c r="J16" s="1325">
        <f>13678-SUM($C16:I16)</f>
        <v>1652</v>
      </c>
      <c r="K16" s="1325">
        <f>15351-SUM($C16:J16)</f>
        <v>1673</v>
      </c>
      <c r="L16" s="1325">
        <f>17020-SUM($C16:K16)</f>
        <v>1669</v>
      </c>
      <c r="M16" s="1325">
        <f>18752-SUM($C16:L16)</f>
        <v>1732</v>
      </c>
      <c r="N16" s="1334">
        <f>('B3 - COVID-19'!N16+'B3 - COVID-19'!N59)+1674</f>
        <v>1732.1660166666666</v>
      </c>
      <c r="O16" s="1323">
        <f t="shared" si="1"/>
        <v>18752</v>
      </c>
      <c r="P16" s="1324">
        <f t="shared" si="2"/>
        <v>20484.166016666666</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8">
        <v>8</v>
      </c>
      <c r="B17" s="1332" t="s">
        <v>536</v>
      </c>
      <c r="C17" s="1330">
        <f>1+SUM($C40:C40)</f>
        <v>4</v>
      </c>
      <c r="D17" s="1325">
        <f>5-C17</f>
        <v>1</v>
      </c>
      <c r="E17" s="1325">
        <f>5-SUM(C17:D17)</f>
        <v>0</v>
      </c>
      <c r="F17" s="1325">
        <f>13-SUM(C17:E17)</f>
        <v>8</v>
      </c>
      <c r="G17" s="1325">
        <f>14-SUM($C17:F17)</f>
        <v>1</v>
      </c>
      <c r="H17" s="1325">
        <f>16-SUM($C17:G17)</f>
        <v>2</v>
      </c>
      <c r="I17" s="1325">
        <f>17-SUM($C17:H17)</f>
        <v>1</v>
      </c>
      <c r="J17" s="1325">
        <f>18-SUM($C17:I17)</f>
        <v>1</v>
      </c>
      <c r="K17" s="1325">
        <f>20-SUM($C17:J17)</f>
        <v>2</v>
      </c>
      <c r="L17" s="1325">
        <f>21-SUM($C17:K17)</f>
        <v>1</v>
      </c>
      <c r="M17" s="1325">
        <f>15-SUM($C17:L17)</f>
        <v>-6</v>
      </c>
      <c r="N17" s="1334">
        <v>2</v>
      </c>
      <c r="O17" s="1323">
        <f t="shared" si="1"/>
        <v>15</v>
      </c>
      <c r="P17" s="1324">
        <f t="shared" si="2"/>
        <v>17</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13690</v>
      </c>
      <c r="F19" s="1341">
        <f t="shared" si="3"/>
        <v>12349</v>
      </c>
      <c r="G19" s="1341">
        <f t="shared" si="3"/>
        <v>11570</v>
      </c>
      <c r="H19" s="1341">
        <f t="shared" si="3"/>
        <v>11261</v>
      </c>
      <c r="I19" s="1341">
        <f t="shared" si="3"/>
        <v>11643</v>
      </c>
      <c r="J19" s="1341">
        <f t="shared" si="3"/>
        <v>11349</v>
      </c>
      <c r="K19" s="1341">
        <f t="shared" si="3"/>
        <v>11571</v>
      </c>
      <c r="L19" s="1341">
        <f t="shared" si="3"/>
        <v>11552</v>
      </c>
      <c r="M19" s="1341">
        <f t="shared" si="3"/>
        <v>8116</v>
      </c>
      <c r="N19" s="1342">
        <f t="shared" si="3"/>
        <v>12501.937416666666</v>
      </c>
      <c r="O19" s="1343">
        <f t="shared" si="3"/>
        <v>123809</v>
      </c>
      <c r="P19" s="1344">
        <f>SUM(P10:P18)</f>
        <v>136310.93741666665</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11570</v>
      </c>
      <c r="H24" s="1569">
        <f>'B - Monthly Positions'!I20</f>
        <v>11261</v>
      </c>
      <c r="I24" s="1569">
        <f>'B - Monthly Positions'!J20</f>
        <v>11643</v>
      </c>
      <c r="J24" s="1569">
        <f>'B - Monthly Positions'!K20</f>
        <v>11349</v>
      </c>
      <c r="K24" s="1569">
        <f>'B - Monthly Positions'!L20</f>
        <v>11571</v>
      </c>
      <c r="L24" s="1569">
        <f>'B - Monthly Positions'!M20</f>
        <v>11552</v>
      </c>
      <c r="M24" s="1569">
        <f>'B - Monthly Positions'!N20</f>
        <v>8116</v>
      </c>
      <c r="N24" s="2478">
        <f>'B - Monthly Positions'!O20</f>
        <v>12501.937416666666</v>
      </c>
      <c r="O24" s="1131">
        <f>SUMPRODUCT($C$6:$N$6,C24:N24)</f>
        <v>123809</v>
      </c>
      <c r="P24" s="1322">
        <f>SUM(C24:N24)</f>
        <v>136310.93741666665</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13690</v>
      </c>
      <c r="F26" s="1345">
        <f t="shared" si="4"/>
        <v>12349</v>
      </c>
      <c r="G26" s="1345">
        <f t="shared" si="4"/>
        <v>11570</v>
      </c>
      <c r="H26" s="1345">
        <f t="shared" si="4"/>
        <v>11261</v>
      </c>
      <c r="I26" s="1345">
        <f t="shared" si="4"/>
        <v>11643</v>
      </c>
      <c r="J26" s="1345">
        <f t="shared" si="4"/>
        <v>11349</v>
      </c>
      <c r="K26" s="1345">
        <f t="shared" si="4"/>
        <v>11571</v>
      </c>
      <c r="L26" s="1345">
        <f t="shared" si="4"/>
        <v>11552</v>
      </c>
      <c r="M26" s="1345">
        <f t="shared" si="4"/>
        <v>8116</v>
      </c>
      <c r="N26" s="1344">
        <f t="shared" si="4"/>
        <v>12501.937416666666</v>
      </c>
      <c r="O26" s="1343">
        <f>SUM(O24:O25)</f>
        <v>123809</v>
      </c>
      <c r="P26" s="1344">
        <f>SUM(P24:P25)</f>
        <v>136310.93741666665</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7">
        <v>1</v>
      </c>
      <c r="B33" s="1331" t="s">
        <v>425</v>
      </c>
      <c r="C33" s="1329">
        <v>149</v>
      </c>
      <c r="D33" s="1326">
        <f>317-C33</f>
        <v>168</v>
      </c>
      <c r="E33" s="1326">
        <f>454-SUM(C33:D33)</f>
        <v>137</v>
      </c>
      <c r="F33" s="1326">
        <f>610-SUM(C33:E33)</f>
        <v>156</v>
      </c>
      <c r="G33" s="1326">
        <f>807-SUM(C33:F33)</f>
        <v>197</v>
      </c>
      <c r="H33" s="1326">
        <f>955-SUM(C33:G33)</f>
        <v>148</v>
      </c>
      <c r="I33" s="1326">
        <f>999-SUM(C33:H33)</f>
        <v>44</v>
      </c>
      <c r="J33" s="1326">
        <f>1119-SUM(C33:I33)</f>
        <v>120</v>
      </c>
      <c r="K33" s="1326">
        <f>1200-SUM($C33:J33)</f>
        <v>81</v>
      </c>
      <c r="L33" s="1326">
        <f>1364-SUM($C33:K33)</f>
        <v>164</v>
      </c>
      <c r="M33" s="1326">
        <f>1595-SUM($C33:L33)</f>
        <v>231</v>
      </c>
      <c r="N33" s="1326">
        <f>AVERAGE(C33:M33)</f>
        <v>145</v>
      </c>
      <c r="O33" s="1131">
        <f t="shared" ref="O33:O41" si="6">SUMPRODUCT($C$6:$N$6,C33:N33)</f>
        <v>1595</v>
      </c>
      <c r="P33" s="1322">
        <f t="shared" ref="P33:P41" si="7">SUM(C33:N33)</f>
        <v>1740</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8">
        <v>2</v>
      </c>
      <c r="B34" s="1332" t="s">
        <v>419</v>
      </c>
      <c r="C34" s="1330">
        <v>16</v>
      </c>
      <c r="D34" s="1326">
        <f>44-C34</f>
        <v>28</v>
      </c>
      <c r="E34" s="1326">
        <f>73-SUM(C34:D34)</f>
        <v>29</v>
      </c>
      <c r="F34" s="1326">
        <f>113-SUM(C34:E34)-1</f>
        <v>39</v>
      </c>
      <c r="G34" s="1326">
        <f>140-SUM(C34:F34)</f>
        <v>28</v>
      </c>
      <c r="H34" s="1326">
        <f>130-SUM(C34:G34)</f>
        <v>-10</v>
      </c>
      <c r="I34" s="1326">
        <f>131-SUM(C34:H34)</f>
        <v>1</v>
      </c>
      <c r="J34" s="1326">
        <f>135-SUM(C34:I34)</f>
        <v>4</v>
      </c>
      <c r="K34" s="1326">
        <f>137-SUM($C34:J34)</f>
        <v>2</v>
      </c>
      <c r="L34" s="1326">
        <f>141-SUM($C34:K34)</f>
        <v>4</v>
      </c>
      <c r="M34" s="1326">
        <f>261-SUM($C34:L34)</f>
        <v>120</v>
      </c>
      <c r="N34" s="1326">
        <f t="shared" ref="N34:N41" si="8">AVERAGE(C34:M34)</f>
        <v>23.727272727272727</v>
      </c>
      <c r="O34" s="1323">
        <f t="shared" si="6"/>
        <v>261</v>
      </c>
      <c r="P34" s="1324">
        <f t="shared" si="7"/>
        <v>284.72727272727275</v>
      </c>
      <c r="Q34" s="608"/>
      <c r="R34" s="608"/>
      <c r="S34" s="608"/>
      <c r="T34" s="80"/>
      <c r="U34" s="80"/>
      <c r="V34" s="80"/>
      <c r="W34" s="80"/>
      <c r="X34" s="80"/>
      <c r="Y34" s="80"/>
      <c r="Z34" s="80"/>
      <c r="AA34" s="80"/>
      <c r="AB34" s="80"/>
      <c r="AC34" s="80"/>
      <c r="AD34" s="80"/>
      <c r="AE34" s="80"/>
      <c r="AF34" s="80"/>
      <c r="AG34" s="80"/>
      <c r="AH34" s="80"/>
      <c r="AI34" s="80"/>
      <c r="AJ34" s="80"/>
      <c r="AK34" s="80"/>
    </row>
    <row r="35" spans="1:37" ht="13.25" customHeight="1">
      <c r="A35" s="1328">
        <v>3</v>
      </c>
      <c r="B35" s="1332" t="s">
        <v>420</v>
      </c>
      <c r="C35" s="1330">
        <v>3</v>
      </c>
      <c r="D35" s="1326">
        <f>3-C35</f>
        <v>0</v>
      </c>
      <c r="E35" s="1326">
        <f>3-SUM(C35:D35)</f>
        <v>0</v>
      </c>
      <c r="F35" s="1326">
        <f>3-SUM(C35:E35)</f>
        <v>0</v>
      </c>
      <c r="G35" s="1326">
        <f>3-SUM(C35:F35)</f>
        <v>0</v>
      </c>
      <c r="H35" s="1326">
        <f>3-SUM(C35:G35)</f>
        <v>0</v>
      </c>
      <c r="I35" s="1326">
        <f>3-SUM(C35:H35)</f>
        <v>0</v>
      </c>
      <c r="J35" s="1326">
        <f>3-SUM(C35:I35)</f>
        <v>0</v>
      </c>
      <c r="K35" s="1326">
        <f>3-SUM($C35:J35)</f>
        <v>0</v>
      </c>
      <c r="L35" s="1326">
        <f>3-SUM($C35:K35)</f>
        <v>0</v>
      </c>
      <c r="M35" s="1326">
        <f>3-SUM($C35:L35)</f>
        <v>0</v>
      </c>
      <c r="N35" s="1326">
        <f t="shared" si="8"/>
        <v>0.27272727272727271</v>
      </c>
      <c r="O35" s="1323">
        <f t="shared" si="6"/>
        <v>3</v>
      </c>
      <c r="P35" s="1324">
        <f t="shared" si="7"/>
        <v>3.2727272727272725</v>
      </c>
      <c r="Q35" s="608"/>
      <c r="R35" s="608"/>
      <c r="S35" s="608"/>
      <c r="T35" s="80"/>
      <c r="U35" s="80"/>
      <c r="V35" s="80"/>
      <c r="W35" s="80"/>
      <c r="X35" s="80"/>
      <c r="Y35" s="80"/>
      <c r="Z35" s="80"/>
      <c r="AA35" s="80"/>
      <c r="AB35" s="80"/>
      <c r="AC35" s="80"/>
      <c r="AD35" s="80"/>
      <c r="AE35" s="80"/>
      <c r="AF35" s="80"/>
      <c r="AG35" s="80"/>
      <c r="AH35" s="80"/>
      <c r="AI35" s="80"/>
      <c r="AJ35" s="80"/>
      <c r="AK35" s="80"/>
    </row>
    <row r="36" spans="1:37" ht="13.25" customHeight="1">
      <c r="A36" s="1328">
        <v>4</v>
      </c>
      <c r="B36" s="1332" t="s">
        <v>421</v>
      </c>
      <c r="C36" s="1330"/>
      <c r="D36" s="1326">
        <f t="shared" ref="D36:E41" si="9">C36</f>
        <v>0</v>
      </c>
      <c r="E36" s="1326">
        <f t="shared" si="9"/>
        <v>0</v>
      </c>
      <c r="F36" s="1326">
        <f t="shared" ref="F36:F41" si="10">AVERAGE(C36:E36)</f>
        <v>0</v>
      </c>
      <c r="G36" s="1326">
        <v>0</v>
      </c>
      <c r="H36" s="1326">
        <v>0</v>
      </c>
      <c r="I36" s="1326">
        <v>0</v>
      </c>
      <c r="J36" s="1326">
        <v>0</v>
      </c>
      <c r="K36" s="1326">
        <v>0</v>
      </c>
      <c r="L36" s="1326">
        <v>0</v>
      </c>
      <c r="M36" s="1326">
        <v>0</v>
      </c>
      <c r="N36" s="1326">
        <f t="shared" si="8"/>
        <v>0</v>
      </c>
      <c r="O36" s="1323">
        <f t="shared" si="6"/>
        <v>0</v>
      </c>
      <c r="P36" s="1324">
        <f t="shared" si="7"/>
        <v>0</v>
      </c>
      <c r="Q36" s="608"/>
      <c r="R36" s="608"/>
      <c r="S36" s="608"/>
      <c r="T36" s="80"/>
      <c r="U36" s="80"/>
      <c r="V36" s="80"/>
      <c r="W36" s="80"/>
      <c r="X36" s="80"/>
      <c r="Y36" s="80"/>
      <c r="Z36" s="80"/>
      <c r="AA36" s="80"/>
      <c r="AB36" s="80"/>
      <c r="AC36" s="80"/>
      <c r="AD36" s="80"/>
      <c r="AE36" s="80"/>
      <c r="AF36" s="80"/>
      <c r="AG36" s="80"/>
      <c r="AH36" s="80"/>
      <c r="AI36" s="80"/>
      <c r="AJ36" s="80"/>
      <c r="AK36" s="80"/>
    </row>
    <row r="37" spans="1:37" ht="13.25" customHeight="1">
      <c r="A37" s="1328">
        <v>5</v>
      </c>
      <c r="B37" s="1332" t="s">
        <v>422</v>
      </c>
      <c r="C37" s="1330">
        <v>17</v>
      </c>
      <c r="D37" s="1326">
        <f>39-C37</f>
        <v>22</v>
      </c>
      <c r="E37" s="1326">
        <f>69-SUM(C37:D37)</f>
        <v>30</v>
      </c>
      <c r="F37" s="1326">
        <f>102-SUM(C37:E37)</f>
        <v>33</v>
      </c>
      <c r="G37" s="1326">
        <f>122-SUM(C37:F37)</f>
        <v>20</v>
      </c>
      <c r="H37" s="1326">
        <f>130-SUM(C37:G37)</f>
        <v>8</v>
      </c>
      <c r="I37" s="1326">
        <f>146-SUM(C37:H37)</f>
        <v>16</v>
      </c>
      <c r="J37" s="1326">
        <f>151-SUM(C37:I37)</f>
        <v>5</v>
      </c>
      <c r="K37" s="1326">
        <f>153-SUM($C37:J37)</f>
        <v>2</v>
      </c>
      <c r="L37" s="1326">
        <f>162-SUM($C37:K37)</f>
        <v>9</v>
      </c>
      <c r="M37" s="1326">
        <f>184-SUM($C37:L37)</f>
        <v>22</v>
      </c>
      <c r="N37" s="1326">
        <f t="shared" si="8"/>
        <v>16.727272727272727</v>
      </c>
      <c r="O37" s="1323">
        <f t="shared" si="6"/>
        <v>184</v>
      </c>
      <c r="P37" s="1324">
        <f t="shared" si="7"/>
        <v>200.72727272727272</v>
      </c>
      <c r="Q37" s="608"/>
      <c r="R37" s="608"/>
      <c r="S37" s="608"/>
      <c r="T37" s="80"/>
      <c r="U37" s="80"/>
      <c r="V37" s="80"/>
      <c r="W37" s="80"/>
      <c r="X37" s="80"/>
      <c r="Y37" s="80"/>
      <c r="Z37" s="80"/>
      <c r="AA37" s="80"/>
      <c r="AB37" s="80"/>
      <c r="AC37" s="80"/>
      <c r="AD37" s="80"/>
      <c r="AE37" s="80"/>
      <c r="AF37" s="80"/>
      <c r="AG37" s="80"/>
      <c r="AH37" s="80"/>
      <c r="AI37" s="80"/>
      <c r="AJ37" s="80"/>
      <c r="AK37" s="80"/>
    </row>
    <row r="38" spans="1:37" ht="13.25" customHeight="1">
      <c r="A38" s="1328">
        <v>6</v>
      </c>
      <c r="B38" s="1332" t="s">
        <v>364</v>
      </c>
      <c r="C38" s="1330"/>
      <c r="D38" s="1326">
        <f t="shared" si="9"/>
        <v>0</v>
      </c>
      <c r="E38" s="1326">
        <f>-2-SUM(C38:D38)</f>
        <v>-2</v>
      </c>
      <c r="F38" s="1326">
        <f>-3-SUM(C38:E38)</f>
        <v>-1</v>
      </c>
      <c r="G38" s="1326">
        <f>-13-SUM(C38:F38)</f>
        <v>-10</v>
      </c>
      <c r="H38" s="1326">
        <f>-14-SUM(C38:G38)</f>
        <v>-1</v>
      </c>
      <c r="I38" s="1326">
        <f>-14-SUM(C38:H38)</f>
        <v>0</v>
      </c>
      <c r="J38" s="1326">
        <f>-14-SUM(C38:I38)</f>
        <v>0</v>
      </c>
      <c r="K38" s="1326">
        <f>-14-SUM($C38:J38)</f>
        <v>0</v>
      </c>
      <c r="L38" s="1326">
        <f>-14-SUM($C38:K38)</f>
        <v>0</v>
      </c>
      <c r="M38" s="1326">
        <f>-15-SUM($C38:L38)</f>
        <v>-1</v>
      </c>
      <c r="N38" s="1326">
        <f t="shared" si="8"/>
        <v>-1.5</v>
      </c>
      <c r="O38" s="1323">
        <f t="shared" si="6"/>
        <v>-15</v>
      </c>
      <c r="P38" s="1324">
        <f t="shared" si="7"/>
        <v>-16.5</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8">
        <v>7</v>
      </c>
      <c r="B39" s="1332" t="s">
        <v>423</v>
      </c>
      <c r="C39" s="1330">
        <v>90</v>
      </c>
      <c r="D39" s="1326">
        <f>180-C39</f>
        <v>90</v>
      </c>
      <c r="E39" s="1326">
        <f>248-SUM(C39:D39)</f>
        <v>68</v>
      </c>
      <c r="F39" s="1326">
        <f>328-SUM(C39:E39)</f>
        <v>80</v>
      </c>
      <c r="G39" s="1326">
        <f>403-SUM(C39:F39)</f>
        <v>75</v>
      </c>
      <c r="H39" s="1326">
        <f>461-SUM(C39:G39)</f>
        <v>58</v>
      </c>
      <c r="I39" s="1326">
        <f>509-SUM(C39:H39)</f>
        <v>48</v>
      </c>
      <c r="J39" s="1326">
        <f>554-SUM(C39:I39)</f>
        <v>45</v>
      </c>
      <c r="K39" s="1326">
        <f>581-SUM($C39:J39)</f>
        <v>27</v>
      </c>
      <c r="L39" s="1326">
        <f>635-SUM($C39:K39)</f>
        <v>54</v>
      </c>
      <c r="M39" s="1326">
        <f>706-SUM($C39:L39)</f>
        <v>71</v>
      </c>
      <c r="N39" s="1326">
        <f t="shared" si="8"/>
        <v>64.181818181818187</v>
      </c>
      <c r="O39" s="1323">
        <f t="shared" si="6"/>
        <v>706</v>
      </c>
      <c r="P39" s="1324">
        <f t="shared" si="7"/>
        <v>770.18181818181824</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8">
        <v>8</v>
      </c>
      <c r="B40" s="1332" t="s">
        <v>536</v>
      </c>
      <c r="C40" s="1330">
        <v>3</v>
      </c>
      <c r="D40" s="1326">
        <f>3-C40</f>
        <v>0</v>
      </c>
      <c r="E40" s="1326">
        <f>3-SUM(C40:D40)</f>
        <v>0</v>
      </c>
      <c r="F40" s="1326">
        <f>7-SUM(C40:E40)</f>
        <v>4</v>
      </c>
      <c r="G40" s="1326">
        <f>7-SUM(C40:F40)</f>
        <v>0</v>
      </c>
      <c r="H40" s="1326">
        <f>7-SUM(C40:G40)</f>
        <v>0</v>
      </c>
      <c r="I40" s="1326">
        <f>7-SUM(C40:H40)</f>
        <v>0</v>
      </c>
      <c r="J40" s="1326">
        <f>7-SUM(C40:I40)</f>
        <v>0</v>
      </c>
      <c r="K40" s="1326">
        <f>7-SUM($C40:J40)</f>
        <v>0</v>
      </c>
      <c r="L40" s="1326">
        <f>7-SUM($C40:K40)</f>
        <v>0</v>
      </c>
      <c r="M40" s="1326">
        <f>-1-SUM($C40:L40)</f>
        <v>-8</v>
      </c>
      <c r="N40" s="1326">
        <f t="shared" si="8"/>
        <v>-9.0909090909090912E-2</v>
      </c>
      <c r="O40" s="1323">
        <f t="shared" si="6"/>
        <v>-1</v>
      </c>
      <c r="P40" s="1324">
        <f t="shared" si="7"/>
        <v>-1.0909090909090908</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9"/>
        <v>0</v>
      </c>
      <c r="E41" s="1326">
        <f t="shared" si="9"/>
        <v>0</v>
      </c>
      <c r="F41" s="1326">
        <f t="shared" si="10"/>
        <v>0</v>
      </c>
      <c r="G41" s="1326">
        <v>0</v>
      </c>
      <c r="H41" s="1326">
        <v>0</v>
      </c>
      <c r="I41" s="1326">
        <v>0</v>
      </c>
      <c r="J41" s="1326">
        <v>0</v>
      </c>
      <c r="K41" s="1326">
        <v>0</v>
      </c>
      <c r="L41" s="1326">
        <v>0</v>
      </c>
      <c r="M41" s="1326">
        <v>0</v>
      </c>
      <c r="N41" s="1326">
        <f t="shared" si="8"/>
        <v>0</v>
      </c>
      <c r="O41" s="1338">
        <f t="shared" si="6"/>
        <v>0</v>
      </c>
      <c r="P41" s="1339">
        <f t="shared" si="7"/>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1">SUM(D33:D41)</f>
        <v>308</v>
      </c>
      <c r="E42" s="1341">
        <f t="shared" si="11"/>
        <v>262</v>
      </c>
      <c r="F42" s="1341">
        <f t="shared" si="11"/>
        <v>311</v>
      </c>
      <c r="G42" s="1341">
        <f t="shared" si="11"/>
        <v>310</v>
      </c>
      <c r="H42" s="1341">
        <f t="shared" si="11"/>
        <v>203</v>
      </c>
      <c r="I42" s="1341">
        <f t="shared" si="11"/>
        <v>109</v>
      </c>
      <c r="J42" s="1341">
        <f t="shared" si="11"/>
        <v>174</v>
      </c>
      <c r="K42" s="1341">
        <f t="shared" si="11"/>
        <v>112</v>
      </c>
      <c r="L42" s="1341">
        <f t="shared" si="11"/>
        <v>231</v>
      </c>
      <c r="M42" s="1341">
        <f t="shared" si="11"/>
        <v>435</v>
      </c>
      <c r="N42" s="1342">
        <f t="shared" si="11"/>
        <v>248.31818181818181</v>
      </c>
      <c r="O42" s="1343">
        <f t="shared" si="11"/>
        <v>2733</v>
      </c>
      <c r="P42" s="1344">
        <f t="shared" si="11"/>
        <v>2981.318181818182</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2">C42/C19</f>
        <v>2.7386464387745051E-2</v>
      </c>
      <c r="D44" s="1353">
        <f t="shared" si="12"/>
        <v>2.9174955006157053E-2</v>
      </c>
      <c r="E44" s="1353">
        <f t="shared" si="12"/>
        <v>1.9138056975894813E-2</v>
      </c>
      <c r="F44" s="1353">
        <f t="shared" si="12"/>
        <v>2.5184225443355739E-2</v>
      </c>
      <c r="G44" s="1353">
        <f t="shared" si="12"/>
        <v>2.6793431287813311E-2</v>
      </c>
      <c r="H44" s="1353">
        <f t="shared" si="12"/>
        <v>1.8026818222182755E-2</v>
      </c>
      <c r="I44" s="1353">
        <f t="shared" si="12"/>
        <v>9.3618483208794991E-3</v>
      </c>
      <c r="J44" s="1353">
        <f t="shared" si="12"/>
        <v>1.5331747290510176E-2</v>
      </c>
      <c r="K44" s="1353">
        <f t="shared" si="12"/>
        <v>9.6793708408953426E-3</v>
      </c>
      <c r="L44" s="1353">
        <f t="shared" si="12"/>
        <v>1.9996537396121884E-2</v>
      </c>
      <c r="M44" s="1353">
        <f t="shared" si="12"/>
        <v>5.3597831444061113E-2</v>
      </c>
      <c r="N44" s="1353">
        <f t="shared" si="12"/>
        <v>1.98623760095889E-2</v>
      </c>
      <c r="O44" s="1353">
        <f t="shared" si="12"/>
        <v>2.2074324160602218E-2</v>
      </c>
      <c r="P44" s="1354">
        <f t="shared" si="12"/>
        <v>2.187145241841509E-2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7">
        <v>1</v>
      </c>
      <c r="B52" s="1331" t="s">
        <v>586</v>
      </c>
      <c r="C52" s="1329">
        <v>271</v>
      </c>
      <c r="D52" s="1326">
        <v>301</v>
      </c>
      <c r="E52" s="1326">
        <v>255</v>
      </c>
      <c r="F52" s="1326">
        <v>304</v>
      </c>
      <c r="G52" s="1326">
        <v>304</v>
      </c>
      <c r="H52" s="1326">
        <v>197</v>
      </c>
      <c r="I52" s="1326">
        <v>103</v>
      </c>
      <c r="J52" s="1326">
        <v>168</v>
      </c>
      <c r="K52" s="1326">
        <v>106</v>
      </c>
      <c r="L52" s="1326">
        <v>225</v>
      </c>
      <c r="M52" s="1326">
        <v>429</v>
      </c>
      <c r="N52" s="1326">
        <f>AVERAGE(C52:M52)</f>
        <v>242.09090909090909</v>
      </c>
      <c r="O52" s="1131">
        <f>SUMPRODUCT($C$6:$N$6,C52:N52)</f>
        <v>2663</v>
      </c>
      <c r="P52" s="1322">
        <f>SUM(C52:N52)</f>
        <v>2905.090909090909</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8">
        <f>A52+1</f>
        <v>2</v>
      </c>
      <c r="B53" s="1332" t="s">
        <v>587</v>
      </c>
      <c r="C53" s="1330">
        <v>7</v>
      </c>
      <c r="D53" s="1325">
        <f>C53</f>
        <v>7</v>
      </c>
      <c r="E53" s="1325">
        <v>7</v>
      </c>
      <c r="F53" s="1325">
        <f>AVERAGE(C53:E53)</f>
        <v>7</v>
      </c>
      <c r="G53" s="1325">
        <v>6</v>
      </c>
      <c r="H53" s="1325">
        <v>6</v>
      </c>
      <c r="I53" s="1325">
        <v>6</v>
      </c>
      <c r="J53" s="1325">
        <v>6</v>
      </c>
      <c r="K53" s="1325">
        <v>6</v>
      </c>
      <c r="L53" s="1325">
        <v>6</v>
      </c>
      <c r="M53" s="1325">
        <f>AVERAGE(C53:L53)</f>
        <v>6.4</v>
      </c>
      <c r="N53" s="1325">
        <f>AVERAGE(C53:M53)</f>
        <v>6.4</v>
      </c>
      <c r="O53" s="1323">
        <f t="shared" ref="O53:O64" si="13">SUMPRODUCT($C$6:$N$6,C53:N53)</f>
        <v>70.400000000000006</v>
      </c>
      <c r="P53" s="1324">
        <f t="shared" ref="P53:P64" si="14">SUM(C53:N53)</f>
        <v>76.800000000000011</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8">
        <f t="shared" ref="A54:A63" si="15">A53+1</f>
        <v>3</v>
      </c>
      <c r="B54" s="1332" t="s">
        <v>588</v>
      </c>
      <c r="C54" s="1330"/>
      <c r="D54" s="1325"/>
      <c r="E54" s="1325"/>
      <c r="F54" s="1325"/>
      <c r="G54" s="1325"/>
      <c r="H54" s="1325"/>
      <c r="I54" s="1325"/>
      <c r="J54" s="1325"/>
      <c r="K54" s="1325"/>
      <c r="L54" s="1325"/>
      <c r="M54" s="1325"/>
      <c r="N54" s="1334"/>
      <c r="O54" s="1323">
        <f t="shared" si="13"/>
        <v>0</v>
      </c>
      <c r="P54" s="1324">
        <f t="shared" si="14"/>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8">
        <f t="shared" si="15"/>
        <v>4</v>
      </c>
      <c r="B55" s="1332" t="s">
        <v>589</v>
      </c>
      <c r="C55" s="1330"/>
      <c r="D55" s="1325"/>
      <c r="E55" s="1325"/>
      <c r="F55" s="1325"/>
      <c r="G55" s="1325"/>
      <c r="H55" s="1325"/>
      <c r="I55" s="1325"/>
      <c r="J55" s="1325"/>
      <c r="K55" s="1325"/>
      <c r="L55" s="1325"/>
      <c r="M55" s="1325"/>
      <c r="N55" s="1334"/>
      <c r="O55" s="1323">
        <f t="shared" si="13"/>
        <v>0</v>
      </c>
      <c r="P55" s="1324">
        <f t="shared" si="14"/>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8">
        <f t="shared" si="15"/>
        <v>5</v>
      </c>
      <c r="B56" s="1332" t="s">
        <v>590</v>
      </c>
      <c r="C56" s="1330"/>
      <c r="D56" s="1325"/>
      <c r="E56" s="1325"/>
      <c r="F56" s="1325"/>
      <c r="G56" s="1325"/>
      <c r="H56" s="1325"/>
      <c r="I56" s="1325"/>
      <c r="J56" s="1325"/>
      <c r="K56" s="1325"/>
      <c r="L56" s="1325"/>
      <c r="M56" s="1325"/>
      <c r="N56" s="1334"/>
      <c r="O56" s="1323">
        <f t="shared" si="13"/>
        <v>0</v>
      </c>
      <c r="P56" s="1324">
        <f t="shared" si="14"/>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8">
        <f t="shared" si="15"/>
        <v>6</v>
      </c>
      <c r="B57" s="1332" t="s">
        <v>591</v>
      </c>
      <c r="C57" s="1330"/>
      <c r="D57" s="1325"/>
      <c r="E57" s="1325"/>
      <c r="F57" s="1325"/>
      <c r="G57" s="1325"/>
      <c r="H57" s="1325"/>
      <c r="I57" s="1325"/>
      <c r="J57" s="1325"/>
      <c r="K57" s="1325"/>
      <c r="L57" s="1325"/>
      <c r="M57" s="1325"/>
      <c r="N57" s="1334"/>
      <c r="O57" s="1323">
        <f t="shared" si="13"/>
        <v>0</v>
      </c>
      <c r="P57" s="1324">
        <f t="shared" si="14"/>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8">
        <f t="shared" si="15"/>
        <v>7</v>
      </c>
      <c r="B58" s="1332" t="s">
        <v>592</v>
      </c>
      <c r="C58" s="1330"/>
      <c r="D58" s="1325"/>
      <c r="E58" s="1325"/>
      <c r="F58" s="1325"/>
      <c r="G58" s="1325"/>
      <c r="H58" s="1325"/>
      <c r="I58" s="1325"/>
      <c r="J58" s="1325"/>
      <c r="K58" s="1325"/>
      <c r="L58" s="1325"/>
      <c r="M58" s="1325"/>
      <c r="N58" s="1334"/>
      <c r="O58" s="1323">
        <f t="shared" si="13"/>
        <v>0</v>
      </c>
      <c r="P58" s="1324">
        <f t="shared" si="14"/>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8">
        <f t="shared" si="15"/>
        <v>8</v>
      </c>
      <c r="B59" s="1332" t="s">
        <v>593</v>
      </c>
      <c r="C59" s="1330"/>
      <c r="D59" s="1325"/>
      <c r="E59" s="1325"/>
      <c r="F59" s="1325"/>
      <c r="G59" s="1325"/>
      <c r="H59" s="1325"/>
      <c r="I59" s="1325"/>
      <c r="J59" s="1325"/>
      <c r="K59" s="1325"/>
      <c r="L59" s="1325"/>
      <c r="M59" s="1325"/>
      <c r="N59" s="1334"/>
      <c r="O59" s="1323">
        <f t="shared" si="13"/>
        <v>0</v>
      </c>
      <c r="P59" s="1324">
        <f t="shared" si="14"/>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8">
        <f t="shared" si="15"/>
        <v>9</v>
      </c>
      <c r="B60" s="1332" t="s">
        <v>594</v>
      </c>
      <c r="C60" s="1330"/>
      <c r="D60" s="1325"/>
      <c r="E60" s="1325"/>
      <c r="F60" s="1325"/>
      <c r="G60" s="1325"/>
      <c r="H60" s="1325"/>
      <c r="I60" s="1325"/>
      <c r="J60" s="1325"/>
      <c r="K60" s="1325"/>
      <c r="L60" s="1325"/>
      <c r="M60" s="1325"/>
      <c r="N60" s="1334"/>
      <c r="O60" s="1323">
        <f t="shared" si="13"/>
        <v>0</v>
      </c>
      <c r="P60" s="1324">
        <f t="shared" si="14"/>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8">
        <f t="shared" si="15"/>
        <v>10</v>
      </c>
      <c r="B61" s="1332" t="s">
        <v>595</v>
      </c>
      <c r="C61" s="1330"/>
      <c r="D61" s="1325"/>
      <c r="E61" s="1325"/>
      <c r="F61" s="1325"/>
      <c r="G61" s="1325"/>
      <c r="H61" s="1325"/>
      <c r="I61" s="1325"/>
      <c r="J61" s="1325"/>
      <c r="K61" s="1325"/>
      <c r="L61" s="1325"/>
      <c r="M61" s="1325"/>
      <c r="N61" s="1334"/>
      <c r="O61" s="1323">
        <f t="shared" si="13"/>
        <v>0</v>
      </c>
      <c r="P61" s="1324">
        <f t="shared" si="14"/>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8">
        <f t="shared" si="15"/>
        <v>11</v>
      </c>
      <c r="B62" s="1332" t="s">
        <v>596</v>
      </c>
      <c r="C62" s="1330"/>
      <c r="D62" s="1325"/>
      <c r="E62" s="1325"/>
      <c r="F62" s="1325"/>
      <c r="G62" s="1325"/>
      <c r="H62" s="1325"/>
      <c r="I62" s="1325"/>
      <c r="J62" s="1325"/>
      <c r="K62" s="1325"/>
      <c r="L62" s="1325"/>
      <c r="M62" s="1325"/>
      <c r="N62" s="1334"/>
      <c r="O62" s="1323">
        <f t="shared" si="13"/>
        <v>0</v>
      </c>
      <c r="P62" s="1324">
        <f t="shared" si="14"/>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8">
        <f t="shared" si="15"/>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3"/>
        <v>0</v>
      </c>
      <c r="P64" s="1339">
        <f t="shared" si="14"/>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6">SUM(C52:C64)</f>
        <v>278</v>
      </c>
      <c r="D65" s="1341">
        <f t="shared" si="16"/>
        <v>308</v>
      </c>
      <c r="E65" s="1341">
        <f t="shared" si="16"/>
        <v>262</v>
      </c>
      <c r="F65" s="1341">
        <f t="shared" si="16"/>
        <v>311</v>
      </c>
      <c r="G65" s="1341">
        <f t="shared" si="16"/>
        <v>310</v>
      </c>
      <c r="H65" s="1341">
        <f t="shared" si="16"/>
        <v>203</v>
      </c>
      <c r="I65" s="1341">
        <f t="shared" si="16"/>
        <v>109</v>
      </c>
      <c r="J65" s="1341">
        <f t="shared" si="16"/>
        <v>174</v>
      </c>
      <c r="K65" s="1341">
        <f t="shared" si="16"/>
        <v>112</v>
      </c>
      <c r="L65" s="1341">
        <f t="shared" si="16"/>
        <v>231</v>
      </c>
      <c r="M65" s="1341">
        <f t="shared" si="16"/>
        <v>435.4</v>
      </c>
      <c r="N65" s="1342">
        <f t="shared" si="16"/>
        <v>248.4909090909091</v>
      </c>
      <c r="O65" s="1343">
        <f t="shared" si="16"/>
        <v>2733.4</v>
      </c>
      <c r="P65" s="1344">
        <f t="shared" si="16"/>
        <v>2981.8909090909092</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17">IF(ABS(C65-C42)&gt;1,1,0)</f>
        <v>0</v>
      </c>
      <c r="D66" s="1365">
        <f t="shared" si="17"/>
        <v>0</v>
      </c>
      <c r="E66" s="1365">
        <f t="shared" si="17"/>
        <v>0</v>
      </c>
      <c r="F66" s="1365">
        <f t="shared" si="17"/>
        <v>0</v>
      </c>
      <c r="G66" s="1365">
        <f t="shared" si="17"/>
        <v>0</v>
      </c>
      <c r="H66" s="1365">
        <f t="shared" si="17"/>
        <v>0</v>
      </c>
      <c r="I66" s="1365">
        <f t="shared" si="17"/>
        <v>0</v>
      </c>
      <c r="J66" s="1365">
        <f t="shared" si="17"/>
        <v>0</v>
      </c>
      <c r="K66" s="1365">
        <f t="shared" si="17"/>
        <v>0</v>
      </c>
      <c r="L66" s="1365">
        <f t="shared" si="17"/>
        <v>0</v>
      </c>
      <c r="M66" s="1365">
        <f t="shared" si="17"/>
        <v>0</v>
      </c>
      <c r="N66" s="1365">
        <f t="shared" si="17"/>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topLeftCell="B71" zoomScale="85" zoomScaleNormal="85" workbookViewId="0">
      <selection activeCell="M148" sqref="M148"/>
    </sheetView>
  </sheetViews>
  <sheetFormatPr defaultColWidth="8.69140625" defaultRowHeight="12.5"/>
  <cols>
    <col min="1" max="1" width="5.69140625" style="9" customWidth="1"/>
    <col min="2" max="2" width="116.07421875" style="9" bestFit="1" customWidth="1"/>
    <col min="3" max="15" width="10.4609375" style="9" customWidth="1"/>
    <col min="16" max="17" width="8.69140625" style="757"/>
    <col min="18" max="18" width="62.69140625" style="757" customWidth="1"/>
    <col min="19" max="19" width="8.69140625" style="757" customWidth="1"/>
    <col min="20" max="31" width="8.69140625" style="9"/>
    <col min="32" max="32" width="11.07421875" style="9" customWidth="1"/>
    <col min="33" max="16384" width="8.6914062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Feb 24</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11</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 thickBot="1">
      <c r="A4" s="280"/>
      <c r="B4" s="1312"/>
      <c r="C4" s="107">
        <f t="shared" ref="C4:M4" si="0">IF(C5&lt;=$C$3,1,0)</f>
        <v>1</v>
      </c>
      <c r="D4" s="107">
        <f t="shared" si="0"/>
        <v>1</v>
      </c>
      <c r="E4" s="107">
        <f t="shared" si="0"/>
        <v>1</v>
      </c>
      <c r="F4" s="107">
        <f t="shared" si="0"/>
        <v>1</v>
      </c>
      <c r="G4" s="107">
        <f t="shared" si="0"/>
        <v>1</v>
      </c>
      <c r="H4" s="107">
        <f t="shared" si="0"/>
        <v>1</v>
      </c>
      <c r="I4" s="107">
        <f t="shared" si="0"/>
        <v>1</v>
      </c>
      <c r="J4" s="107">
        <f t="shared" si="0"/>
        <v>1</v>
      </c>
      <c r="K4" s="107">
        <f t="shared" si="0"/>
        <v>1</v>
      </c>
      <c r="L4" s="107">
        <f t="shared" si="0"/>
        <v>1</v>
      </c>
      <c r="M4" s="107">
        <f t="shared" si="0"/>
        <v>1</v>
      </c>
      <c r="N4" s="107">
        <f>IF(N5&lt;=$C$3,1,0)</f>
        <v>0</v>
      </c>
      <c r="O4" s="1314"/>
      <c r="P4" s="608"/>
      <c r="Q4" s="608"/>
      <c r="R4" s="2529"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5"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ht="13">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ht="13">
      <c r="A10" s="1896">
        <f t="shared" ref="A10:A113" si="1">A9+1</f>
        <v>3</v>
      </c>
      <c r="B10" s="1910" t="s">
        <v>425</v>
      </c>
      <c r="C10" s="1902">
        <v>14.46139</v>
      </c>
      <c r="D10" s="1903">
        <v>29.626289999999997</v>
      </c>
      <c r="E10" s="1903">
        <v>14.841389999999999</v>
      </c>
      <c r="F10" s="1903">
        <v>42.058430000000001</v>
      </c>
      <c r="G10" s="1903">
        <v>39.096609999999998</v>
      </c>
      <c r="H10" s="1903">
        <v>52.505600000000008</v>
      </c>
      <c r="I10" s="1903">
        <v>19.189489999999999</v>
      </c>
      <c r="J10" s="1903">
        <v>18.692790000000002</v>
      </c>
      <c r="K10" s="1903">
        <v>17.403950000000002</v>
      </c>
      <c r="L10" s="1903">
        <v>16.024190000000001</v>
      </c>
      <c r="M10" s="1903">
        <v>29.026669999999999</v>
      </c>
      <c r="N10" s="1904">
        <v>16.993336666666668</v>
      </c>
      <c r="O10" s="1862">
        <f t="shared" ref="O10:O18" si="2">SUMPRODUCT($C$4:$N$4,C10:N10)</f>
        <v>292.92680000000007</v>
      </c>
      <c r="P10" s="1863">
        <f t="shared" ref="P10:P18" si="3">SUM(C10:N10)</f>
        <v>309.92013666666674</v>
      </c>
      <c r="Q10" s="608"/>
      <c r="R10" s="608"/>
      <c r="S10" s="608"/>
      <c r="T10" s="839"/>
      <c r="U10" s="80"/>
      <c r="V10" s="80"/>
      <c r="W10" s="80"/>
      <c r="X10" s="80"/>
      <c r="Y10" s="80"/>
      <c r="Z10" s="80"/>
      <c r="AA10" s="80"/>
      <c r="AB10" s="80"/>
      <c r="AC10" s="80"/>
      <c r="AD10" s="80"/>
      <c r="AE10" s="80"/>
      <c r="AF10" s="80"/>
      <c r="AG10" s="80"/>
      <c r="AH10" s="80"/>
      <c r="AI10" s="80"/>
      <c r="AJ10" s="80"/>
    </row>
    <row r="11" spans="1:36" ht="13">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ht="13">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ht="13">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ht="13">
      <c r="A14" s="1896">
        <f t="shared" si="1"/>
        <v>7</v>
      </c>
      <c r="B14" s="1905" t="s">
        <v>422</v>
      </c>
      <c r="C14" s="1329">
        <v>2.4549099999999999</v>
      </c>
      <c r="D14" s="1326">
        <v>3.0352800000000002</v>
      </c>
      <c r="E14" s="1326">
        <v>3.5165900000000003</v>
      </c>
      <c r="F14" s="1326">
        <v>3.0116799999999997</v>
      </c>
      <c r="G14" s="1326">
        <v>2.6217800000000002</v>
      </c>
      <c r="H14" s="1326">
        <v>2.6217800000000002</v>
      </c>
      <c r="I14" s="1326">
        <v>3.7016799999999996</v>
      </c>
      <c r="J14" s="1326">
        <v>2.88733</v>
      </c>
      <c r="K14" s="1326">
        <v>2.88733</v>
      </c>
      <c r="L14" s="1326">
        <v>2.88733</v>
      </c>
      <c r="M14" s="1326">
        <v>2.88733</v>
      </c>
      <c r="N14" s="1333">
        <v>2.88733</v>
      </c>
      <c r="O14" s="1862">
        <f t="shared" si="2"/>
        <v>32.513019999999997</v>
      </c>
      <c r="P14" s="1863">
        <f t="shared" si="3"/>
        <v>35.400349999999996</v>
      </c>
      <c r="Q14" s="608"/>
      <c r="R14" s="608"/>
      <c r="S14" s="608"/>
      <c r="T14" s="839"/>
      <c r="U14" s="80"/>
      <c r="V14" s="80"/>
      <c r="W14" s="80"/>
      <c r="X14" s="80"/>
      <c r="Y14" s="80"/>
      <c r="Z14" s="80"/>
      <c r="AA14" s="80"/>
      <c r="AB14" s="80"/>
      <c r="AC14" s="80"/>
      <c r="AD14" s="80"/>
      <c r="AE14" s="80"/>
      <c r="AF14" s="80"/>
      <c r="AG14" s="80"/>
      <c r="AH14" s="80"/>
      <c r="AI14" s="80"/>
      <c r="AJ14" s="80"/>
    </row>
    <row r="15" spans="1:36" ht="13">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ht="13">
      <c r="A16" s="1896">
        <f t="shared" si="1"/>
        <v>9</v>
      </c>
      <c r="B16" s="1905" t="s">
        <v>423</v>
      </c>
      <c r="C16" s="1329">
        <v>30.110499999999998</v>
      </c>
      <c r="D16" s="1326">
        <v>21.426640000000003</v>
      </c>
      <c r="E16" s="1326">
        <v>35.603099999999998</v>
      </c>
      <c r="F16" s="1326">
        <v>35.499369999999992</v>
      </c>
      <c r="G16" s="1326">
        <v>32.072389999999999</v>
      </c>
      <c r="H16" s="1326">
        <v>31.130370000000003</v>
      </c>
      <c r="I16" s="1326">
        <v>25.609959999999997</v>
      </c>
      <c r="J16" s="1326">
        <v>30.137180000000001</v>
      </c>
      <c r="K16" s="1326">
        <v>29.404870000000003</v>
      </c>
      <c r="L16" s="1326">
        <v>32.662179999999999</v>
      </c>
      <c r="M16" s="1326">
        <v>27.931359999999994</v>
      </c>
      <c r="N16" s="1333">
        <v>37.751440000000002</v>
      </c>
      <c r="O16" s="1862">
        <f t="shared" si="2"/>
        <v>331.58791999999994</v>
      </c>
      <c r="P16" s="1863">
        <f t="shared" si="3"/>
        <v>369.33935999999994</v>
      </c>
      <c r="Q16" s="608"/>
      <c r="R16" s="608"/>
      <c r="S16" s="608"/>
      <c r="T16" s="839"/>
      <c r="U16" s="80"/>
      <c r="V16" s="80"/>
      <c r="W16" s="80"/>
      <c r="X16" s="80"/>
      <c r="Y16" s="80"/>
      <c r="Z16" s="80"/>
      <c r="AA16" s="80"/>
      <c r="AB16" s="80"/>
      <c r="AC16" s="80"/>
      <c r="AD16" s="80"/>
      <c r="AE16" s="80"/>
      <c r="AF16" s="80"/>
      <c r="AG16" s="80"/>
      <c r="AH16" s="80"/>
      <c r="AI16" s="80"/>
      <c r="AJ16" s="80"/>
    </row>
    <row r="17" spans="1:36" ht="13">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5"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73.790779999999998</v>
      </c>
      <c r="H19" s="1907">
        <f t="shared" si="4"/>
        <v>86.257750000000016</v>
      </c>
      <c r="I19" s="1907">
        <f t="shared" si="4"/>
        <v>48.501129999999996</v>
      </c>
      <c r="J19" s="1907">
        <f t="shared" si="4"/>
        <v>51.717300000000002</v>
      </c>
      <c r="K19" s="1907">
        <f t="shared" si="4"/>
        <v>49.696150000000003</v>
      </c>
      <c r="L19" s="1907">
        <f t="shared" si="4"/>
        <v>51.573700000000002</v>
      </c>
      <c r="M19" s="1907">
        <f t="shared" si="4"/>
        <v>59.845359999999992</v>
      </c>
      <c r="N19" s="1907">
        <f t="shared" si="4"/>
        <v>57.632106666666672</v>
      </c>
      <c r="O19" s="1907">
        <f>SUM(O10:O18)</f>
        <v>657.02773999999999</v>
      </c>
      <c r="P19" s="1908">
        <f t="shared" si="4"/>
        <v>714.65984666666668</v>
      </c>
      <c r="Q19" s="1143"/>
      <c r="R19" s="3014"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015"/>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ht="13">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ht="13">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ht="13">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832.78728000000012</v>
      </c>
      <c r="H23" s="2899">
        <f t="shared" si="9"/>
        <v>668.40530000000012</v>
      </c>
      <c r="I23" s="2899">
        <f t="shared" si="9"/>
        <v>996.61832000000015</v>
      </c>
      <c r="J23" s="2899">
        <f t="shared" si="9"/>
        <v>650.01325999999995</v>
      </c>
      <c r="K23" s="2899">
        <f t="shared" si="9"/>
        <v>846.13830999999993</v>
      </c>
      <c r="L23" s="2899">
        <f t="shared" si="9"/>
        <v>848.50055999999995</v>
      </c>
      <c r="M23" s="2899">
        <f t="shared" si="9"/>
        <v>774.53838999999982</v>
      </c>
      <c r="N23" s="2899">
        <f t="shared" si="9"/>
        <v>1040.11833</v>
      </c>
      <c r="O23" s="1862">
        <f t="shared" si="5"/>
        <v>8725.5213600000006</v>
      </c>
      <c r="P23" s="1863">
        <f t="shared" si="6"/>
        <v>9765.63969</v>
      </c>
      <c r="Q23" s="608"/>
      <c r="R23" s="3005" t="s">
        <v>1413</v>
      </c>
      <c r="S23" s="1329">
        <v>41.723300000000002</v>
      </c>
      <c r="T23" s="1326">
        <v>41.723309999999998</v>
      </c>
      <c r="U23" s="1326">
        <v>47.436300000000003</v>
      </c>
      <c r="V23" s="1326">
        <v>43.627630000000003</v>
      </c>
      <c r="W23" s="1326">
        <v>43.627660000000006</v>
      </c>
      <c r="X23" s="1326">
        <v>43.62762</v>
      </c>
      <c r="Y23" s="1326">
        <v>43.62764</v>
      </c>
      <c r="Z23" s="1326">
        <v>43.627660000000006</v>
      </c>
      <c r="AA23" s="1326">
        <v>43.627629999999996</v>
      </c>
      <c r="AB23" s="1326">
        <v>49.340620000000001</v>
      </c>
      <c r="AC23" s="1326">
        <v>38.32441</v>
      </c>
      <c r="AD23" s="1333">
        <v>44.037379999999999</v>
      </c>
      <c r="AE23" s="1862">
        <f t="shared" si="7"/>
        <v>480.31377999999995</v>
      </c>
      <c r="AF23" s="1863">
        <f t="shared" si="8"/>
        <v>524.35115999999994</v>
      </c>
      <c r="AG23" s="80"/>
      <c r="AH23" s="80"/>
      <c r="AI23" s="80"/>
      <c r="AJ23" s="80"/>
    </row>
    <row r="24" spans="1:36" ht="13">
      <c r="A24" s="1896">
        <f t="shared" si="1"/>
        <v>17</v>
      </c>
      <c r="B24" s="1905" t="s">
        <v>464</v>
      </c>
      <c r="C24" s="1330">
        <v>18.600000000000001</v>
      </c>
      <c r="D24" s="1325">
        <v>18.600000000000001</v>
      </c>
      <c r="E24" s="1325">
        <v>0</v>
      </c>
      <c r="F24" s="1325">
        <v>-7.3</v>
      </c>
      <c r="G24" s="1325">
        <v>-0.6</v>
      </c>
      <c r="H24" s="1325">
        <v>-1.425</v>
      </c>
      <c r="I24" s="1325">
        <v>0</v>
      </c>
      <c r="J24" s="1325">
        <v>0.34499999999999997</v>
      </c>
      <c r="K24" s="1325">
        <v>-5.28</v>
      </c>
      <c r="L24" s="1325">
        <v>0</v>
      </c>
      <c r="M24" s="1325">
        <v>0</v>
      </c>
      <c r="N24" s="1334">
        <v>32.5</v>
      </c>
      <c r="O24" s="1323">
        <f t="shared" si="5"/>
        <v>22.939999999999998</v>
      </c>
      <c r="P24" s="1324">
        <f t="shared" si="6"/>
        <v>55.44</v>
      </c>
      <c r="Q24" s="608"/>
      <c r="R24" s="2716" t="s">
        <v>1440</v>
      </c>
      <c r="S24" s="1329">
        <v>703.2559</v>
      </c>
      <c r="T24" s="1326">
        <v>611.93997999999999</v>
      </c>
      <c r="U24" s="1326">
        <v>706.86956999999995</v>
      </c>
      <c r="V24" s="1326">
        <v>537.04047000000003</v>
      </c>
      <c r="W24" s="1326">
        <v>680.51191000000006</v>
      </c>
      <c r="X24" s="1326">
        <v>506.77605</v>
      </c>
      <c r="Y24" s="1326">
        <v>829.7471700000001</v>
      </c>
      <c r="Z24" s="1326">
        <v>471.8843</v>
      </c>
      <c r="AA24" s="1326">
        <v>628.60771999999997</v>
      </c>
      <c r="AB24" s="1326">
        <v>623.99414999999999</v>
      </c>
      <c r="AC24" s="1326">
        <v>603.45462999999995</v>
      </c>
      <c r="AD24" s="1333">
        <v>623.73983999999996</v>
      </c>
      <c r="AE24" s="1862">
        <f t="shared" si="7"/>
        <v>6904.0818500000005</v>
      </c>
      <c r="AF24" s="1863">
        <f t="shared" si="8"/>
        <v>7527.8216900000007</v>
      </c>
      <c r="AG24" s="80"/>
      <c r="AH24" s="80"/>
      <c r="AI24" s="80"/>
      <c r="AJ24" s="80"/>
    </row>
    <row r="25" spans="1:36" ht="13">
      <c r="A25" s="1896">
        <f t="shared" si="1"/>
        <v>18</v>
      </c>
      <c r="B25" s="1905" t="s">
        <v>465</v>
      </c>
      <c r="C25" s="1330"/>
      <c r="D25" s="1325"/>
      <c r="E25" s="1325"/>
      <c r="F25" s="1325"/>
      <c r="G25" s="1325"/>
      <c r="H25" s="1325">
        <v>0</v>
      </c>
      <c r="I25" s="1325">
        <v>47.095999999999997</v>
      </c>
      <c r="J25" s="1325">
        <v>40.130000000000003</v>
      </c>
      <c r="K25" s="1325">
        <v>-40.130000000000003</v>
      </c>
      <c r="L25" s="1325">
        <v>33.997</v>
      </c>
      <c r="M25" s="1325">
        <v>0</v>
      </c>
      <c r="N25" s="1334">
        <v>27.030999999999999</v>
      </c>
      <c r="O25" s="1323">
        <f t="shared" si="5"/>
        <v>81.092999999999989</v>
      </c>
      <c r="P25" s="1324">
        <f t="shared" si="6"/>
        <v>108.124</v>
      </c>
      <c r="Q25" s="608"/>
      <c r="R25" s="2716" t="s">
        <v>1441</v>
      </c>
      <c r="S25" s="1330">
        <v>5.5058199999999999</v>
      </c>
      <c r="T25" s="1325">
        <v>26.419170000000001</v>
      </c>
      <c r="U25" s="1325">
        <v>9.1497100000000007</v>
      </c>
      <c r="V25" s="1325">
        <v>39.150959999999998</v>
      </c>
      <c r="W25" s="1325">
        <v>22.490669999999998</v>
      </c>
      <c r="X25" s="1325">
        <v>4.4910200000000007</v>
      </c>
      <c r="Y25" s="1325">
        <v>4.2580200000000001</v>
      </c>
      <c r="Z25" s="1325">
        <v>-2.5831999999999997</v>
      </c>
      <c r="AA25" s="1325">
        <v>4.8153999999999995</v>
      </c>
      <c r="AB25" s="1325">
        <v>-8.6778200000000005</v>
      </c>
      <c r="AC25" s="1325">
        <v>-0.12318000000000001</v>
      </c>
      <c r="AD25" s="1334">
        <v>5</v>
      </c>
      <c r="AE25" s="1323">
        <f t="shared" si="7"/>
        <v>104.89657</v>
      </c>
      <c r="AF25" s="1324">
        <f t="shared" si="8"/>
        <v>109.89657</v>
      </c>
      <c r="AG25" s="80"/>
      <c r="AH25" s="80"/>
      <c r="AI25" s="80"/>
      <c r="AJ25" s="80"/>
    </row>
    <row r="26" spans="1:36" ht="13">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-0.17215</v>
      </c>
      <c r="X26" s="1325">
        <v>2.3000000000000001E-4</v>
      </c>
      <c r="Y26" s="1325">
        <v>-2.7E-4</v>
      </c>
      <c r="Z26" s="1325">
        <v>6.3000000000000003E-4</v>
      </c>
      <c r="AA26" s="1325">
        <v>0</v>
      </c>
      <c r="AB26" s="1325">
        <v>0</v>
      </c>
      <c r="AC26" s="1325">
        <v>-2.0000000000000002E-5</v>
      </c>
      <c r="AD26" s="1334">
        <v>0</v>
      </c>
      <c r="AE26" s="1323">
        <f t="shared" si="7"/>
        <v>5.9641999999999991</v>
      </c>
      <c r="AF26" s="1324">
        <f t="shared" si="8"/>
        <v>5.9641999999999991</v>
      </c>
      <c r="AG26" s="80"/>
      <c r="AH26" s="80"/>
      <c r="AI26" s="80"/>
      <c r="AJ26" s="80"/>
    </row>
    <row r="27" spans="1:36" ht="13">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50.44294</v>
      </c>
      <c r="X27" s="1325">
        <v>75.466660000000005</v>
      </c>
      <c r="Y27" s="1325">
        <v>80.71463</v>
      </c>
      <c r="Z27" s="1325">
        <v>110.26105</v>
      </c>
      <c r="AA27" s="1325">
        <v>121.87941000000001</v>
      </c>
      <c r="AB27" s="1325">
        <v>100.05352999999999</v>
      </c>
      <c r="AC27" s="1325">
        <v>98.89546</v>
      </c>
      <c r="AD27" s="1334">
        <v>101.51111</v>
      </c>
      <c r="AE27" s="1323">
        <f t="shared" si="7"/>
        <v>821.54992000000004</v>
      </c>
      <c r="AF27" s="1324">
        <f t="shared" si="8"/>
        <v>923.06103000000007</v>
      </c>
      <c r="AG27" s="80"/>
      <c r="AH27" s="80"/>
      <c r="AI27" s="80"/>
      <c r="AJ27" s="80"/>
    </row>
    <row r="28" spans="1:36" ht="13">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34.03</v>
      </c>
      <c r="X28" s="1325">
        <v>35.165080000000003</v>
      </c>
      <c r="Y28" s="1325">
        <v>34.942140000000002</v>
      </c>
      <c r="Z28" s="1325">
        <v>20.9559</v>
      </c>
      <c r="AA28" s="1325">
        <v>32.581000000000003</v>
      </c>
      <c r="AB28" s="1325">
        <v>44.671699999999994</v>
      </c>
      <c r="AC28" s="1325">
        <v>16.028209999999998</v>
      </c>
      <c r="AD28" s="1334">
        <v>28.7</v>
      </c>
      <c r="AE28" s="1323">
        <f t="shared" si="7"/>
        <v>318.65886</v>
      </c>
      <c r="AF28" s="1324">
        <f t="shared" si="8"/>
        <v>347.35885999999999</v>
      </c>
      <c r="AG28" s="80"/>
      <c r="AH28" s="80"/>
      <c r="AI28" s="80"/>
      <c r="AJ28" s="80"/>
    </row>
    <row r="29" spans="1:36" ht="13">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1.85625</v>
      </c>
      <c r="X29" s="2494">
        <v>2.8786400000000003</v>
      </c>
      <c r="Y29" s="2494">
        <v>3.3289899999999997</v>
      </c>
      <c r="Z29" s="2494">
        <v>5.9004000000000003</v>
      </c>
      <c r="AA29" s="2494">
        <v>13.109150000000001</v>
      </c>
      <c r="AB29" s="2494">
        <v>30.372779999999999</v>
      </c>
      <c r="AC29" s="2494">
        <v>17.958880000000001</v>
      </c>
      <c r="AD29" s="2495">
        <v>36.25</v>
      </c>
      <c r="AE29" s="2372">
        <f t="shared" si="7"/>
        <v>79.825890000000001</v>
      </c>
      <c r="AF29" s="2496">
        <f t="shared" si="8"/>
        <v>116.07589</v>
      </c>
      <c r="AG29" s="80"/>
      <c r="AH29" s="80"/>
      <c r="AI29" s="80"/>
      <c r="AJ29" s="80"/>
    </row>
    <row r="30" spans="1:36" ht="13">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t="s">
        <v>1474</v>
      </c>
      <c r="S30" s="2493">
        <v>0</v>
      </c>
      <c r="T30" s="2494">
        <v>0</v>
      </c>
      <c r="U30" s="2494">
        <v>0</v>
      </c>
      <c r="V30" s="2494">
        <v>0</v>
      </c>
      <c r="W30" s="2494">
        <v>0</v>
      </c>
      <c r="X30" s="2494">
        <v>0</v>
      </c>
      <c r="Y30" s="2494">
        <v>0</v>
      </c>
      <c r="Z30" s="2494">
        <v>0</v>
      </c>
      <c r="AA30" s="2494">
        <v>0</v>
      </c>
      <c r="AB30" s="2494">
        <v>0</v>
      </c>
      <c r="AC30" s="2494">
        <v>0</v>
      </c>
      <c r="AD30" s="2495">
        <v>104.88</v>
      </c>
      <c r="AE30" s="2372">
        <f t="shared" si="7"/>
        <v>0</v>
      </c>
      <c r="AF30" s="2496">
        <f t="shared" si="8"/>
        <v>104.88</v>
      </c>
      <c r="AG30" s="80"/>
      <c r="AH30" s="80"/>
      <c r="AI30" s="80"/>
      <c r="AJ30" s="80"/>
    </row>
    <row r="31" spans="1:36" ht="13">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t="s">
        <v>1469</v>
      </c>
      <c r="S31" s="2493">
        <v>0</v>
      </c>
      <c r="T31" s="2494">
        <v>0</v>
      </c>
      <c r="U31" s="2494">
        <v>1.7000000000000001E-4</v>
      </c>
      <c r="V31" s="2494">
        <v>0</v>
      </c>
      <c r="W31" s="2494">
        <v>0</v>
      </c>
      <c r="X31" s="2494">
        <v>0</v>
      </c>
      <c r="Y31" s="2494">
        <v>0</v>
      </c>
      <c r="Z31" s="2494">
        <v>-3.3479999999999996E-2</v>
      </c>
      <c r="AA31" s="2494">
        <v>0.39</v>
      </c>
      <c r="AB31" s="2494">
        <v>0</v>
      </c>
      <c r="AC31" s="2494">
        <v>0</v>
      </c>
      <c r="AD31" s="2495">
        <v>0</v>
      </c>
      <c r="AE31" s="2372">
        <f t="shared" si="7"/>
        <v>0.35669000000000001</v>
      </c>
      <c r="AF31" s="2496">
        <f t="shared" si="8"/>
        <v>0.35669000000000001</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t="s">
        <v>1475</v>
      </c>
      <c r="S32" s="2493">
        <v>0</v>
      </c>
      <c r="T32" s="2494">
        <v>0</v>
      </c>
      <c r="U32" s="2494">
        <v>0</v>
      </c>
      <c r="V32" s="2494">
        <v>0</v>
      </c>
      <c r="W32" s="2494">
        <v>0</v>
      </c>
      <c r="X32" s="2494">
        <v>0</v>
      </c>
      <c r="Y32" s="2494">
        <v>0</v>
      </c>
      <c r="Z32" s="2494">
        <v>0</v>
      </c>
      <c r="AA32" s="2494">
        <v>1.1279999999999999</v>
      </c>
      <c r="AB32" s="2494">
        <v>8.7455999999999996</v>
      </c>
      <c r="AC32" s="2494">
        <v>0</v>
      </c>
      <c r="AD32" s="2495">
        <v>96</v>
      </c>
      <c r="AE32" s="2372">
        <f t="shared" si="7"/>
        <v>9.8735999999999997</v>
      </c>
      <c r="AF32" s="2496">
        <f t="shared" si="8"/>
        <v>105.8736</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832.1872800000001</v>
      </c>
      <c r="H33" s="1907">
        <f t="shared" si="10"/>
        <v>666.98030000000017</v>
      </c>
      <c r="I33" s="1907">
        <f t="shared" si="10"/>
        <v>1043.71432</v>
      </c>
      <c r="J33" s="1907">
        <f t="shared" si="10"/>
        <v>690.48825999999997</v>
      </c>
      <c r="K33" s="1907">
        <f t="shared" si="10"/>
        <v>800.72830999999996</v>
      </c>
      <c r="L33" s="1907">
        <f t="shared" si="10"/>
        <v>882.49755999999991</v>
      </c>
      <c r="M33" s="1907">
        <f t="shared" si="10"/>
        <v>774.53838999999982</v>
      </c>
      <c r="N33" s="1907">
        <f t="shared" si="10"/>
        <v>1099.64933</v>
      </c>
      <c r="O33" s="1907">
        <f>SUM(O20:O32)</f>
        <v>8829.5543600000019</v>
      </c>
      <c r="P33" s="1907">
        <f>SUM(P20:P32)</f>
        <v>9929.2036900000003</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905.97806000000014</v>
      </c>
      <c r="H34" s="1340">
        <f t="shared" si="11"/>
        <v>753.23805000000016</v>
      </c>
      <c r="I34" s="1340">
        <f t="shared" si="11"/>
        <v>1092.2154500000001</v>
      </c>
      <c r="J34" s="1340">
        <f t="shared" si="11"/>
        <v>742.20555999999999</v>
      </c>
      <c r="K34" s="1340">
        <f t="shared" si="11"/>
        <v>850.42445999999995</v>
      </c>
      <c r="L34" s="1340">
        <f t="shared" si="11"/>
        <v>934.07125999999994</v>
      </c>
      <c r="M34" s="1340">
        <f t="shared" si="11"/>
        <v>834.38374999999985</v>
      </c>
      <c r="N34" s="1912">
        <f t="shared" si="11"/>
        <v>1157.2814366666667</v>
      </c>
      <c r="O34" s="1340">
        <f t="shared" si="11"/>
        <v>9486.5821000000014</v>
      </c>
      <c r="P34" s="1866">
        <f t="shared" si="11"/>
        <v>10643.863536666668</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832.78728000000012</v>
      </c>
      <c r="X34" s="1907">
        <f t="shared" si="12"/>
        <v>668.40530000000012</v>
      </c>
      <c r="Y34" s="1907">
        <f t="shared" si="12"/>
        <v>996.61832000000015</v>
      </c>
      <c r="Z34" s="1907">
        <f t="shared" si="12"/>
        <v>650.01325999999995</v>
      </c>
      <c r="AA34" s="1907">
        <f t="shared" si="12"/>
        <v>846.13830999999993</v>
      </c>
      <c r="AB34" s="1907">
        <f t="shared" si="12"/>
        <v>848.50055999999995</v>
      </c>
      <c r="AC34" s="1907">
        <f t="shared" si="12"/>
        <v>774.53838999999982</v>
      </c>
      <c r="AD34" s="1907">
        <f t="shared" si="12"/>
        <v>1040.11833</v>
      </c>
      <c r="AE34" s="1907">
        <f>SUM(AE21:AE33)</f>
        <v>8725.5213600000025</v>
      </c>
      <c r="AF34" s="1907">
        <f>SUM(AF21:AF33)</f>
        <v>9765.6396900000018</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13715.314111616448</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109.73898940240952</v>
      </c>
      <c r="H37" s="1907">
        <f t="shared" si="13"/>
        <v>719.0221164109339</v>
      </c>
      <c r="I37" s="1907">
        <f t="shared" si="13"/>
        <v>179.50531213733234</v>
      </c>
      <c r="J37" s="1907">
        <f t="shared" si="13"/>
        <v>534.7356309931173</v>
      </c>
      <c r="K37" s="1907">
        <f t="shared" si="13"/>
        <v>950.85369380399902</v>
      </c>
      <c r="L37" s="1907">
        <f t="shared" si="13"/>
        <v>375.64950213733255</v>
      </c>
      <c r="M37" s="1907">
        <f t="shared" si="13"/>
        <v>371.46091484890246</v>
      </c>
      <c r="N37" s="1907">
        <f t="shared" si="13"/>
        <v>567.40444935955452</v>
      </c>
      <c r="O37" s="1907">
        <f t="shared" si="13"/>
        <v>4228.7320116164465</v>
      </c>
      <c r="P37" s="1908">
        <f t="shared" si="13"/>
        <v>4796.1364609760021</v>
      </c>
      <c r="Q37" s="608"/>
      <c r="R37" s="608"/>
      <c r="S37" s="608"/>
      <c r="T37" s="839"/>
      <c r="U37" s="80"/>
      <c r="V37" s="80"/>
      <c r="W37" s="80"/>
      <c r="X37" s="80"/>
      <c r="Y37" s="80"/>
      <c r="Z37" s="80"/>
      <c r="AA37" s="80"/>
      <c r="AB37" s="80"/>
      <c r="AC37" s="80"/>
      <c r="AD37" s="80"/>
      <c r="AE37" s="80"/>
      <c r="AF37" s="1115"/>
      <c r="AG37" s="80"/>
      <c r="AH37" s="80"/>
      <c r="AI37" s="80"/>
      <c r="AJ37" s="80"/>
    </row>
    <row r="38" spans="1:36" ht="13">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ht="13">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ht="13">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13715.313881616446</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ht="13">
      <c r="A42" s="2723">
        <f t="shared" si="1"/>
        <v>31</v>
      </c>
      <c r="B42" s="2726" t="s">
        <v>1407</v>
      </c>
      <c r="C42" s="1330">
        <v>924.67523000000006</v>
      </c>
      <c r="D42" s="1325">
        <v>829.11623999999995</v>
      </c>
      <c r="E42" s="1325">
        <v>879.55561999999998</v>
      </c>
      <c r="F42" s="1325">
        <v>740.71842000000004</v>
      </c>
      <c r="G42" s="1325">
        <v>905.97806000000014</v>
      </c>
      <c r="H42" s="1325">
        <v>753.23805000000016</v>
      </c>
      <c r="I42" s="1325">
        <v>1092.2154500000001</v>
      </c>
      <c r="J42" s="1325">
        <v>742.20555999999999</v>
      </c>
      <c r="K42" s="1325">
        <v>850.42445999999995</v>
      </c>
      <c r="L42" s="1325">
        <v>934.07125999999994</v>
      </c>
      <c r="M42" s="1325">
        <v>834.38374999999985</v>
      </c>
      <c r="N42" s="2727">
        <v>1157.2814366666667</v>
      </c>
      <c r="O42" s="1323">
        <f t="shared" ref="O42:O44" si="14">SUMPRODUCT($C$4:$N$4,C42:N42)</f>
        <v>9486.5821000000014</v>
      </c>
      <c r="P42" s="1324">
        <f t="shared" ref="P42:P44" si="15">SUM(C42:N42)</f>
        <v>10643.863536666668</v>
      </c>
      <c r="Q42" s="608"/>
      <c r="R42" s="608"/>
      <c r="S42" s="608"/>
      <c r="T42" s="839"/>
      <c r="U42" s="80"/>
      <c r="V42" s="80"/>
      <c r="W42" s="80"/>
      <c r="X42" s="80"/>
      <c r="Y42" s="80"/>
      <c r="Z42" s="80"/>
      <c r="AA42" s="80"/>
      <c r="AB42" s="80"/>
      <c r="AC42" s="80"/>
      <c r="AD42" s="80"/>
      <c r="AE42" s="80"/>
      <c r="AF42" s="1115"/>
      <c r="AG42" s="80"/>
      <c r="AH42" s="80"/>
      <c r="AI42" s="80"/>
      <c r="AJ42" s="80"/>
    </row>
    <row r="43" spans="1:36" ht="13">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ht="13">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905.97806000000014</v>
      </c>
      <c r="H44" s="2730">
        <f t="shared" si="16"/>
        <v>753.23805000000016</v>
      </c>
      <c r="I44" s="2730">
        <f t="shared" si="16"/>
        <v>1092.2154500000001</v>
      </c>
      <c r="J44" s="2730">
        <f t="shared" si="16"/>
        <v>742.20555999999999</v>
      </c>
      <c r="K44" s="2730">
        <f t="shared" si="16"/>
        <v>850.42445999999995</v>
      </c>
      <c r="L44" s="2730">
        <f t="shared" si="16"/>
        <v>934.07125999999994</v>
      </c>
      <c r="M44" s="2730">
        <f t="shared" si="16"/>
        <v>834.38374999999985</v>
      </c>
      <c r="N44" s="2731">
        <f t="shared" si="16"/>
        <v>1157.2814366666667</v>
      </c>
      <c r="O44" s="2732">
        <f t="shared" si="14"/>
        <v>9486.5821000000014</v>
      </c>
      <c r="P44" s="2733">
        <f t="shared" si="15"/>
        <v>10643.863536666668</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-109.73898940240952</v>
      </c>
      <c r="H45" s="2734">
        <f t="shared" si="17"/>
        <v>-719.0221164109339</v>
      </c>
      <c r="I45" s="2734">
        <f t="shared" si="17"/>
        <v>-179.50531213733234</v>
      </c>
      <c r="J45" s="2734">
        <f t="shared" si="17"/>
        <v>-534.7356309931173</v>
      </c>
      <c r="K45" s="2734">
        <f t="shared" si="17"/>
        <v>-950.85369380399902</v>
      </c>
      <c r="L45" s="2734">
        <f t="shared" si="17"/>
        <v>-375.64950213733255</v>
      </c>
      <c r="M45" s="2734">
        <f t="shared" si="17"/>
        <v>-371.46091484890246</v>
      </c>
      <c r="N45" s="2735">
        <f t="shared" si="17"/>
        <v>-567.40444935955452</v>
      </c>
      <c r="O45" s="2760">
        <f t="shared" si="17"/>
        <v>-4228.731781616445</v>
      </c>
      <c r="P45" s="2760">
        <f t="shared" si="17"/>
        <v>-4796.1362309760007</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ht="13">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ht="13">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ht="13">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ht="13">
      <c r="A53" s="1896">
        <f t="shared" si="1"/>
        <v>31</v>
      </c>
      <c r="B53" s="1910" t="s">
        <v>425</v>
      </c>
      <c r="C53" s="1902">
        <v>36.324280000000002</v>
      </c>
      <c r="D53" s="1903">
        <v>45.856839999999998</v>
      </c>
      <c r="E53" s="1903">
        <v>54.786299999999997</v>
      </c>
      <c r="F53" s="1903">
        <v>60.121859999999998</v>
      </c>
      <c r="G53" s="1903">
        <v>29.36364</v>
      </c>
      <c r="H53" s="1903">
        <v>26.074489999999997</v>
      </c>
      <c r="I53" s="1903">
        <v>27.66</v>
      </c>
      <c r="J53" s="1903">
        <v>22.743099999999998</v>
      </c>
      <c r="K53" s="1903">
        <v>22.818529999999999</v>
      </c>
      <c r="L53" s="1903">
        <v>22.696940000000001</v>
      </c>
      <c r="M53" s="1903">
        <v>19.725239999999999</v>
      </c>
      <c r="N53" s="1904">
        <v>19.537646666666667</v>
      </c>
      <c r="O53" s="1862">
        <f t="shared" ref="O53:O61" si="19">SUMPRODUCT($C$4:$N$4,C53:N53)</f>
        <v>368.17122000000001</v>
      </c>
      <c r="P53" s="1863">
        <f t="shared" ref="P53:P61" si="20">SUM(C53:N53)</f>
        <v>387.70886666666667</v>
      </c>
      <c r="Q53" s="608"/>
      <c r="R53" s="608"/>
      <c r="S53" s="608"/>
      <c r="T53" s="839"/>
      <c r="U53" s="80"/>
      <c r="V53" s="80"/>
      <c r="W53" s="80"/>
      <c r="X53" s="80"/>
      <c r="Y53" s="80"/>
      <c r="Z53" s="80"/>
      <c r="AA53" s="80"/>
      <c r="AB53" s="80"/>
      <c r="AC53" s="80"/>
      <c r="AD53" s="80"/>
      <c r="AE53" s="80"/>
      <c r="AF53" s="80"/>
      <c r="AG53" s="80"/>
      <c r="AH53" s="80"/>
      <c r="AI53" s="80"/>
      <c r="AJ53" s="80"/>
    </row>
    <row r="54" spans="1:36" ht="13">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ht="13">
      <c r="A55" s="1896">
        <f t="shared" si="1"/>
        <v>33</v>
      </c>
      <c r="B55" s="1905" t="s">
        <v>420</v>
      </c>
      <c r="C55" s="1329">
        <v>0</v>
      </c>
      <c r="D55" s="1326"/>
      <c r="E55" s="1326"/>
      <c r="F55" s="1326"/>
      <c r="G55" s="1326">
        <v>15.32296</v>
      </c>
      <c r="H55" s="1326">
        <v>13.60045</v>
      </c>
      <c r="I55" s="1326">
        <v>13.639560000000001</v>
      </c>
      <c r="J55" s="1326">
        <v>30.933430000000001</v>
      </c>
      <c r="K55" s="1326">
        <v>21.524089999999998</v>
      </c>
      <c r="L55" s="1326">
        <v>22.000129999999999</v>
      </c>
      <c r="M55" s="1326">
        <v>22.000129999999999</v>
      </c>
      <c r="N55" s="1333">
        <v>22.35308666666667</v>
      </c>
      <c r="O55" s="1862">
        <f t="shared" si="19"/>
        <v>139.02074999999999</v>
      </c>
      <c r="P55" s="1863">
        <f t="shared" si="20"/>
        <v>161.37383666666665</v>
      </c>
      <c r="Q55" s="608"/>
      <c r="R55" s="608"/>
      <c r="S55" s="608"/>
      <c r="T55" s="839"/>
      <c r="U55" s="80"/>
      <c r="V55" s="80"/>
      <c r="W55" s="80"/>
      <c r="X55" s="80"/>
      <c r="Y55" s="80"/>
      <c r="Z55" s="80"/>
      <c r="AA55" s="80"/>
      <c r="AB55" s="80"/>
      <c r="AC55" s="80"/>
      <c r="AD55" s="80"/>
      <c r="AE55" s="80"/>
      <c r="AF55" s="80"/>
      <c r="AG55" s="80"/>
      <c r="AH55" s="80"/>
      <c r="AI55" s="80"/>
      <c r="AJ55" s="80"/>
    </row>
    <row r="56" spans="1:36" ht="13">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ht="13">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ht="13">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ht="13">
      <c r="A59" s="1896">
        <f t="shared" si="1"/>
        <v>37</v>
      </c>
      <c r="B59" s="1905" t="s">
        <v>423</v>
      </c>
      <c r="C59" s="1329">
        <v>16.712319999999998</v>
      </c>
      <c r="D59" s="1326">
        <v>20.234090000000002</v>
      </c>
      <c r="E59" s="1326">
        <v>20.44895</v>
      </c>
      <c r="F59" s="1326">
        <v>20.422319999999999</v>
      </c>
      <c r="G59" s="1326">
        <v>17.830590000000001</v>
      </c>
      <c r="H59" s="1326">
        <v>10.368669999999998</v>
      </c>
      <c r="I59" s="1326">
        <v>12.288819999999999</v>
      </c>
      <c r="J59" s="1326">
        <v>27.052419999999998</v>
      </c>
      <c r="K59" s="1326">
        <v>20.64396</v>
      </c>
      <c r="L59" s="1326">
        <v>20.485279999999999</v>
      </c>
      <c r="M59" s="1326">
        <v>20.414750000000002</v>
      </c>
      <c r="N59" s="1333">
        <v>20.414576666666669</v>
      </c>
      <c r="O59" s="1862">
        <f t="shared" si="19"/>
        <v>206.90216999999998</v>
      </c>
      <c r="P59" s="1863">
        <f t="shared" si="20"/>
        <v>227.31674666666666</v>
      </c>
      <c r="Q59" s="608"/>
      <c r="R59" s="608"/>
      <c r="S59" s="608"/>
      <c r="T59" s="839"/>
      <c r="U59" s="80"/>
      <c r="V59" s="80"/>
      <c r="W59" s="80"/>
      <c r="X59" s="80"/>
      <c r="Y59" s="80"/>
      <c r="Z59" s="80"/>
      <c r="AA59" s="80"/>
      <c r="AB59" s="80"/>
      <c r="AC59" s="80"/>
      <c r="AD59" s="80"/>
      <c r="AE59" s="80"/>
      <c r="AF59" s="80"/>
      <c r="AG59" s="80"/>
      <c r="AH59" s="80"/>
      <c r="AI59" s="80"/>
      <c r="AJ59" s="80"/>
    </row>
    <row r="60" spans="1:36" ht="13">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62.517189999999999</v>
      </c>
      <c r="H62" s="1907">
        <f t="shared" si="21"/>
        <v>50.043610000000001</v>
      </c>
      <c r="I62" s="1907">
        <f t="shared" si="21"/>
        <v>53.588380000000001</v>
      </c>
      <c r="J62" s="1907">
        <f t="shared" si="21"/>
        <v>80.728949999999998</v>
      </c>
      <c r="K62" s="1907">
        <f t="shared" si="21"/>
        <v>64.986580000000004</v>
      </c>
      <c r="L62" s="1907">
        <f t="shared" si="21"/>
        <v>65.18235</v>
      </c>
      <c r="M62" s="1907">
        <f t="shared" si="21"/>
        <v>62.140119999999996</v>
      </c>
      <c r="N62" s="1907">
        <f t="shared" si="21"/>
        <v>62.305310000000006</v>
      </c>
      <c r="O62" s="1907">
        <f t="shared" si="21"/>
        <v>714.09413999999992</v>
      </c>
      <c r="P62" s="1908">
        <f t="shared" si="21"/>
        <v>776.39944999999989</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ht="13">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ht="13">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ht="13">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ht="13">
      <c r="A66" s="1896">
        <f t="shared" si="1"/>
        <v>44</v>
      </c>
      <c r="B66" s="1910" t="s">
        <v>1318</v>
      </c>
      <c r="C66" s="1329">
        <v>7.27536</v>
      </c>
      <c r="D66" s="1326">
        <v>23.230430000000002</v>
      </c>
      <c r="E66" s="1326">
        <v>6.9424599999999996</v>
      </c>
      <c r="F66" s="1326">
        <v>84.053730000000002</v>
      </c>
      <c r="G66" s="1326">
        <v>31.843490000000003</v>
      </c>
      <c r="H66" s="1326">
        <v>39.321489999999997</v>
      </c>
      <c r="I66" s="1326">
        <v>79.552019999999999</v>
      </c>
      <c r="J66" s="1326">
        <v>-44.027630000000002</v>
      </c>
      <c r="K66" s="1326">
        <v>8.6507000000000005</v>
      </c>
      <c r="L66" s="1326">
        <v>94.361809999999991</v>
      </c>
      <c r="M66" s="1326">
        <v>22.424299999999999</v>
      </c>
      <c r="N66" s="1333">
        <v>107.075</v>
      </c>
      <c r="O66" s="1862">
        <f t="shared" si="22"/>
        <v>353.62815999999998</v>
      </c>
      <c r="P66" s="1863">
        <f t="shared" si="23"/>
        <v>460.70315999999997</v>
      </c>
      <c r="Q66" s="608"/>
      <c r="R66" s="608"/>
      <c r="S66" s="608"/>
      <c r="T66" s="839"/>
      <c r="U66" s="80"/>
      <c r="V66" s="80"/>
      <c r="W66" s="80"/>
      <c r="X66" s="80"/>
      <c r="Y66" s="80"/>
      <c r="Z66" s="80"/>
      <c r="AA66" s="80"/>
      <c r="AB66" s="80"/>
      <c r="AC66" s="80"/>
      <c r="AD66" s="80"/>
      <c r="AE66" s="80"/>
      <c r="AF66" s="80"/>
      <c r="AG66" s="80"/>
      <c r="AH66" s="80"/>
      <c r="AI66" s="80"/>
      <c r="AJ66" s="80"/>
    </row>
    <row r="67" spans="1:36" ht="13">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ht="13">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ht="13">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ht="13">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ht="13">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ht="13">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ht="13">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ht="13">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31.843490000000003</v>
      </c>
      <c r="H76" s="1907">
        <f t="shared" si="24"/>
        <v>39.321489999999997</v>
      </c>
      <c r="I76" s="1907">
        <f t="shared" si="24"/>
        <v>79.552019999999999</v>
      </c>
      <c r="J76" s="1907">
        <f t="shared" si="24"/>
        <v>-44.027630000000002</v>
      </c>
      <c r="K76" s="1907">
        <f t="shared" si="24"/>
        <v>8.6507000000000005</v>
      </c>
      <c r="L76" s="1907">
        <f t="shared" si="24"/>
        <v>94.361809999999991</v>
      </c>
      <c r="M76" s="1907">
        <f t="shared" si="24"/>
        <v>22.424299999999999</v>
      </c>
      <c r="N76" s="1907">
        <f t="shared" si="24"/>
        <v>107.075</v>
      </c>
      <c r="O76" s="1907">
        <f t="shared" si="24"/>
        <v>353.62815999999998</v>
      </c>
      <c r="P76" s="1907">
        <f t="shared" si="24"/>
        <v>460.70315999999997</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94.360680000000002</v>
      </c>
      <c r="H77" s="1340">
        <f t="shared" si="25"/>
        <v>89.365099999999998</v>
      </c>
      <c r="I77" s="1340">
        <f t="shared" si="25"/>
        <v>133.1404</v>
      </c>
      <c r="J77" s="1340">
        <f t="shared" si="25"/>
        <v>36.701319999999996</v>
      </c>
      <c r="K77" s="1340">
        <f t="shared" si="25"/>
        <v>73.637280000000004</v>
      </c>
      <c r="L77" s="1340">
        <f t="shared" si="25"/>
        <v>159.54415999999998</v>
      </c>
      <c r="M77" s="1340">
        <f t="shared" si="25"/>
        <v>84.564419999999998</v>
      </c>
      <c r="N77" s="1912">
        <f t="shared" si="25"/>
        <v>169.38031000000001</v>
      </c>
      <c r="O77" s="1340">
        <f t="shared" si="25"/>
        <v>1067.7222999999999</v>
      </c>
      <c r="P77" s="1866">
        <f t="shared" si="25"/>
        <v>1237.1026099999999</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1331.1217134848484</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25.166504848484834</v>
      </c>
      <c r="H80" s="1907">
        <f t="shared" si="26"/>
        <v>90.162084848484838</v>
      </c>
      <c r="I80" s="1907">
        <f t="shared" si="26"/>
        <v>33.886784848484837</v>
      </c>
      <c r="J80" s="1907">
        <f t="shared" si="26"/>
        <v>70.325864848484841</v>
      </c>
      <c r="K80" s="1907">
        <f t="shared" si="26"/>
        <v>33.389904848484832</v>
      </c>
      <c r="L80" s="1907">
        <f t="shared" si="26"/>
        <v>-52.51697515151514</v>
      </c>
      <c r="M80" s="1907">
        <f t="shared" si="26"/>
        <v>74.313869848484856</v>
      </c>
      <c r="N80" s="1907">
        <f t="shared" si="26"/>
        <v>-10.502020151515154</v>
      </c>
      <c r="O80" s="1907">
        <f t="shared" si="26"/>
        <v>263.39941348484854</v>
      </c>
      <c r="P80" s="1908">
        <f t="shared" si="26"/>
        <v>252.89739333333341</v>
      </c>
      <c r="Q80" s="608"/>
      <c r="R80" s="608"/>
      <c r="S80" s="608"/>
      <c r="T80" s="839"/>
      <c r="U80" s="80"/>
      <c r="V80" s="80"/>
      <c r="W80" s="80"/>
      <c r="X80" s="80"/>
      <c r="Y80" s="80"/>
      <c r="Z80" s="80"/>
      <c r="AA80" s="80"/>
      <c r="AB80" s="80"/>
      <c r="AC80" s="80"/>
      <c r="AD80" s="80"/>
      <c r="AE80" s="80"/>
      <c r="AF80" s="1115"/>
      <c r="AG80" s="80"/>
      <c r="AH80" s="80"/>
      <c r="AI80" s="80"/>
      <c r="AJ80" s="80"/>
    </row>
    <row r="81" spans="1:36" ht="13">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ht="13">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75"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1331.1217534848483</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75" customHeight="1">
      <c r="A85" s="2723">
        <f t="shared" si="1"/>
        <v>59</v>
      </c>
      <c r="B85" s="2726" t="s">
        <v>1355</v>
      </c>
      <c r="C85" s="1330">
        <v>60.311959999999999</v>
      </c>
      <c r="D85" s="1325">
        <v>89.321359999999999</v>
      </c>
      <c r="E85" s="1325">
        <v>82.17770999999999</v>
      </c>
      <c r="F85" s="1325">
        <v>164.59791000000001</v>
      </c>
      <c r="G85" s="1325">
        <v>94.360680000000002</v>
      </c>
      <c r="H85" s="1325">
        <v>89.365099999999998</v>
      </c>
      <c r="I85" s="1325">
        <v>133.1404</v>
      </c>
      <c r="J85" s="1325">
        <v>36.701319999999996</v>
      </c>
      <c r="K85" s="1325">
        <v>73.637280000000004</v>
      </c>
      <c r="L85" s="1325">
        <v>159.54415999999998</v>
      </c>
      <c r="M85" s="1325">
        <v>84.564419999999998</v>
      </c>
      <c r="N85" s="1334">
        <v>169.38031000000001</v>
      </c>
      <c r="O85" s="1323">
        <f t="shared" si="27"/>
        <v>1067.7222999999999</v>
      </c>
      <c r="P85" s="1324">
        <f t="shared" si="28"/>
        <v>1237.1026099999999</v>
      </c>
      <c r="Q85" s="608"/>
      <c r="R85" s="608"/>
      <c r="S85" s="608"/>
      <c r="T85" s="839"/>
      <c r="U85" s="80"/>
      <c r="V85" s="80"/>
      <c r="W85" s="80"/>
      <c r="X85" s="80"/>
      <c r="Y85" s="80"/>
      <c r="Z85" s="80"/>
      <c r="AA85" s="80"/>
      <c r="AB85" s="80"/>
      <c r="AC85" s="80"/>
      <c r="AD85" s="80"/>
      <c r="AE85" s="80"/>
      <c r="AF85" s="1115"/>
      <c r="AG85" s="80"/>
      <c r="AH85" s="80"/>
      <c r="AI85" s="80"/>
      <c r="AJ85" s="80"/>
    </row>
    <row r="86" spans="1:36" ht="17.75"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75" customHeight="1">
      <c r="A87" s="2723">
        <f t="shared" si="1"/>
        <v>61</v>
      </c>
      <c r="B87" s="2726" t="s">
        <v>1320</v>
      </c>
      <c r="C87" s="2730">
        <f>C85+C86</f>
        <v>60.311959999999999</v>
      </c>
      <c r="D87" s="2730">
        <f t="shared" ref="D87" si="29">D85+D86</f>
        <v>89.321359999999999</v>
      </c>
      <c r="E87" s="2730">
        <f t="shared" ref="E87" si="30">E85+E86</f>
        <v>82.17770999999999</v>
      </c>
      <c r="F87" s="2730">
        <f t="shared" ref="F87" si="31">F85+F86</f>
        <v>164.59791000000001</v>
      </c>
      <c r="G87" s="2730">
        <f t="shared" ref="G87" si="32">G85+G86</f>
        <v>94.360680000000002</v>
      </c>
      <c r="H87" s="2730">
        <f t="shared" ref="H87" si="33">H85+H86</f>
        <v>89.365099999999998</v>
      </c>
      <c r="I87" s="2730">
        <f t="shared" ref="I87" si="34">I85+I86</f>
        <v>133.1404</v>
      </c>
      <c r="J87" s="2730">
        <f t="shared" ref="J87" si="35">J85+J86</f>
        <v>36.701319999999996</v>
      </c>
      <c r="K87" s="2730">
        <f t="shared" ref="K87" si="36">K85+K86</f>
        <v>73.637280000000004</v>
      </c>
      <c r="L87" s="2730">
        <f t="shared" ref="L87" si="37">L85+L86</f>
        <v>159.54415999999998</v>
      </c>
      <c r="M87" s="2730">
        <f t="shared" ref="M87" si="38">M85+M86</f>
        <v>84.564419999999998</v>
      </c>
      <c r="N87" s="2765">
        <f t="shared" ref="N87" si="39">N85+N86</f>
        <v>169.38031000000001</v>
      </c>
      <c r="O87" s="1338">
        <f t="shared" si="27"/>
        <v>1067.7222999999999</v>
      </c>
      <c r="P87" s="1339">
        <f t="shared" si="28"/>
        <v>1237.1026099999999</v>
      </c>
      <c r="Q87" s="608"/>
      <c r="R87" s="608"/>
      <c r="S87" s="608"/>
      <c r="T87" s="839"/>
      <c r="U87" s="80"/>
      <c r="V87" s="80"/>
      <c r="W87" s="80"/>
      <c r="X87" s="80"/>
      <c r="Y87" s="80"/>
      <c r="Z87" s="80"/>
      <c r="AA87" s="80"/>
      <c r="AB87" s="80"/>
      <c r="AC87" s="80"/>
      <c r="AD87" s="80"/>
      <c r="AE87" s="80"/>
      <c r="AF87" s="1115"/>
      <c r="AG87" s="80"/>
      <c r="AH87" s="80"/>
      <c r="AI87" s="80"/>
      <c r="AJ87" s="80"/>
    </row>
    <row r="88" spans="1:36" ht="17.75" customHeight="1" thickBot="1">
      <c r="A88" s="2723">
        <f t="shared" si="1"/>
        <v>62</v>
      </c>
      <c r="B88" s="2728" t="s">
        <v>1322</v>
      </c>
      <c r="C88" s="2734">
        <f>C87-C84</f>
        <v>-3.9999999998485691E-5</v>
      </c>
      <c r="D88" s="2734">
        <f t="shared" ref="D88" si="40">D87-D84</f>
        <v>3.6073751515151571</v>
      </c>
      <c r="E88" s="2734">
        <f t="shared" ref="E88" si="41">E87-E84</f>
        <v>-37.349474848484846</v>
      </c>
      <c r="F88" s="2734">
        <f t="shared" ref="F88" si="42">F87-F84</f>
        <v>45.070725151515177</v>
      </c>
      <c r="G88" s="2734">
        <f t="shared" ref="G88" si="43">G87-G84</f>
        <v>-25.166504848484834</v>
      </c>
      <c r="H88" s="2734">
        <f t="shared" ref="H88" si="44">H87-H84</f>
        <v>-90.162084848484838</v>
      </c>
      <c r="I88" s="2734">
        <f t="shared" ref="I88" si="45">I87-I84</f>
        <v>-33.886784848484837</v>
      </c>
      <c r="J88" s="2734">
        <f t="shared" ref="J88" si="46">J87-J84</f>
        <v>-70.325864848484841</v>
      </c>
      <c r="K88" s="2734">
        <f t="shared" ref="K88" si="47">K87-K84</f>
        <v>-33.389904848484832</v>
      </c>
      <c r="L88" s="2734">
        <f t="shared" ref="L88" si="48">L87-L84</f>
        <v>52.51697515151514</v>
      </c>
      <c r="M88" s="2734">
        <f t="shared" ref="M88" si="49">M87-M84</f>
        <v>-74.313869848484856</v>
      </c>
      <c r="N88" s="2764">
        <f t="shared" ref="N88:P88" si="50">N87-N84</f>
        <v>10.502020151515154</v>
      </c>
      <c r="O88" s="2758">
        <f t="shared" si="50"/>
        <v>-263.39945348484844</v>
      </c>
      <c r="P88" s="2760">
        <f t="shared" si="50"/>
        <v>-252.89743333333331</v>
      </c>
      <c r="Q88" s="608"/>
      <c r="R88" s="608"/>
      <c r="S88" s="608"/>
      <c r="T88" s="839"/>
      <c r="U88" s="80"/>
      <c r="V88" s="80"/>
      <c r="W88" s="80"/>
      <c r="X88" s="80"/>
      <c r="Y88" s="80"/>
      <c r="Z88" s="80"/>
      <c r="AA88" s="80"/>
      <c r="AB88" s="80"/>
      <c r="AC88" s="80"/>
      <c r="AD88" s="80"/>
      <c r="AE88" s="80"/>
      <c r="AF88" s="1115"/>
      <c r="AG88" s="80"/>
      <c r="AH88" s="80"/>
      <c r="AI88" s="80"/>
      <c r="AJ88" s="80"/>
    </row>
    <row r="89" spans="1:36" ht="17.75"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75" customHeight="1" thickBot="1">
      <c r="A90" s="1352">
        <f>A88+1</f>
        <v>63</v>
      </c>
      <c r="B90" s="1864" t="s">
        <v>1345</v>
      </c>
      <c r="C90" s="1340">
        <f>C87-C77</f>
        <v>0</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0</v>
      </c>
      <c r="P90" s="1340">
        <f t="shared" si="51"/>
        <v>0</v>
      </c>
      <c r="Q90" s="608"/>
      <c r="R90" s="608"/>
      <c r="S90" s="608"/>
      <c r="T90" s="839"/>
      <c r="U90" s="80"/>
      <c r="V90" s="80"/>
      <c r="W90" s="80"/>
      <c r="X90" s="80"/>
      <c r="Y90" s="80"/>
      <c r="Z90" s="80"/>
      <c r="AA90" s="80"/>
      <c r="AB90" s="80"/>
      <c r="AC90" s="80"/>
      <c r="AD90" s="80"/>
      <c r="AE90" s="80"/>
      <c r="AF90" s="1115"/>
      <c r="AG90" s="80"/>
      <c r="AH90" s="80"/>
      <c r="AI90" s="80"/>
      <c r="AJ90" s="80"/>
    </row>
    <row r="91" spans="1:36" ht="13">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ht="13">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ht="13">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ht="13">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ht="13">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ht="13">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ht="13">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ht="13">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ht="13">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ht="13">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ht="13">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ht="13">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ht="13">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ht="13">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ht="13">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ht="13">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ht="13">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ht="13">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ht="13">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ht="13">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ht="13">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ht="13">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ht="13">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ht="13">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ht="13">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ht="13">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ht="13">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ht="13">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ht="13">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ht="13">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ht="13">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ht="13">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ht="13">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ht="13">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ht="13">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75"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75"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75"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75"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75"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75"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75"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ht="13">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ht="13">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75"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15046.435825101298</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75"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1000.3387400000001</v>
      </c>
      <c r="H148" s="2739">
        <f t="shared" si="93"/>
        <v>842.60315000000014</v>
      </c>
      <c r="I148" s="2739">
        <f t="shared" si="93"/>
        <v>1225.3558500000001</v>
      </c>
      <c r="J148" s="2739">
        <f t="shared" si="93"/>
        <v>778.90688</v>
      </c>
      <c r="K148" s="2739">
        <f t="shared" si="93"/>
        <v>924.06173999999999</v>
      </c>
      <c r="L148" s="2739">
        <f t="shared" si="93"/>
        <v>1093.6154199999999</v>
      </c>
      <c r="M148" s="2739">
        <f t="shared" si="93"/>
        <v>918.94816999999989</v>
      </c>
      <c r="N148" s="2739">
        <f t="shared" si="93"/>
        <v>1326.6617466666667</v>
      </c>
      <c r="O148" s="1323">
        <f t="shared" si="90"/>
        <v>10554.304399999999</v>
      </c>
      <c r="P148" s="1324">
        <f t="shared" si="91"/>
        <v>11880.966146666666</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75"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134.90549425089444</v>
      </c>
      <c r="H149" s="2741">
        <f t="shared" si="94"/>
        <v>809.18420125941884</v>
      </c>
      <c r="I149" s="2741">
        <f t="shared" si="94"/>
        <v>213.39209698581726</v>
      </c>
      <c r="J149" s="2741">
        <f t="shared" si="94"/>
        <v>605.06149584160221</v>
      </c>
      <c r="K149" s="2741">
        <f t="shared" si="94"/>
        <v>984.24359865248391</v>
      </c>
      <c r="L149" s="2741">
        <f t="shared" si="94"/>
        <v>323.13252698581755</v>
      </c>
      <c r="M149" s="2741">
        <f t="shared" si="94"/>
        <v>445.7747846973873</v>
      </c>
      <c r="N149" s="2741">
        <f t="shared" si="94"/>
        <v>556.90242920803939</v>
      </c>
      <c r="O149" s="1366">
        <f t="shared" si="90"/>
        <v>4492.1314251012964</v>
      </c>
      <c r="P149" s="1367">
        <f t="shared" si="91"/>
        <v>5049.0338543093358</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75"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75"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15046.435635101296</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75" customHeight="1">
      <c r="A152" s="2747">
        <f t="shared" si="92"/>
        <v>112</v>
      </c>
      <c r="B152" s="2748" t="s">
        <v>1337</v>
      </c>
      <c r="C152" s="2749">
        <f>C42+C85+C138</f>
        <v>984.98719000000006</v>
      </c>
      <c r="D152" s="2750">
        <f t="shared" ref="D152:N152" si="96">D42+D85+D138</f>
        <v>918.43759999999997</v>
      </c>
      <c r="E152" s="2750">
        <f t="shared" si="96"/>
        <v>961.73333000000002</v>
      </c>
      <c r="F152" s="2750">
        <f t="shared" si="96"/>
        <v>905.31633000000011</v>
      </c>
      <c r="G152" s="2750">
        <f t="shared" si="96"/>
        <v>1000.3387400000001</v>
      </c>
      <c r="H152" s="2750">
        <f t="shared" si="96"/>
        <v>842.60315000000014</v>
      </c>
      <c r="I152" s="2750">
        <f t="shared" si="96"/>
        <v>1225.3558500000001</v>
      </c>
      <c r="J152" s="2750">
        <f t="shared" si="96"/>
        <v>778.90688</v>
      </c>
      <c r="K152" s="2750">
        <f t="shared" si="96"/>
        <v>924.06173999999999</v>
      </c>
      <c r="L152" s="2750">
        <f t="shared" si="96"/>
        <v>1093.6154199999999</v>
      </c>
      <c r="M152" s="2750">
        <f t="shared" si="96"/>
        <v>918.94816999999989</v>
      </c>
      <c r="N152" s="2751">
        <f t="shared" si="96"/>
        <v>1326.6617466666667</v>
      </c>
      <c r="O152" s="1323">
        <f t="shared" ref="O152:O154" si="97">SUMPRODUCT($C$4:$N$4,C152:N152)</f>
        <v>10554.304399999999</v>
      </c>
      <c r="P152" s="1324">
        <f t="shared" ref="P152:P154" si="98">SUM(C152:N152)</f>
        <v>11880.966146666666</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75"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75" customHeight="1">
      <c r="A154" s="2747">
        <f t="shared" si="92"/>
        <v>114</v>
      </c>
      <c r="B154" s="2752" t="s">
        <v>1336</v>
      </c>
      <c r="C154" s="2753">
        <f>C152+C153</f>
        <v>984.98719000000006</v>
      </c>
      <c r="D154" s="2754">
        <f t="shared" ref="D154:N154" si="100">D152+D153</f>
        <v>918.43759999999997</v>
      </c>
      <c r="E154" s="2754">
        <f t="shared" si="100"/>
        <v>961.73333000000002</v>
      </c>
      <c r="F154" s="2754">
        <f t="shared" si="100"/>
        <v>905.31633000000011</v>
      </c>
      <c r="G154" s="2754">
        <f t="shared" si="100"/>
        <v>1000.3387400000001</v>
      </c>
      <c r="H154" s="2754">
        <f t="shared" si="100"/>
        <v>842.60315000000014</v>
      </c>
      <c r="I154" s="2754">
        <f t="shared" si="100"/>
        <v>1225.3558500000001</v>
      </c>
      <c r="J154" s="2754">
        <f t="shared" si="100"/>
        <v>778.90688</v>
      </c>
      <c r="K154" s="2754">
        <f t="shared" si="100"/>
        <v>924.06173999999999</v>
      </c>
      <c r="L154" s="2754">
        <f t="shared" si="100"/>
        <v>1093.6154199999999</v>
      </c>
      <c r="M154" s="2754">
        <f t="shared" si="100"/>
        <v>918.94816999999989</v>
      </c>
      <c r="N154" s="2755">
        <f t="shared" si="100"/>
        <v>1326.6617466666667</v>
      </c>
      <c r="O154" s="1323">
        <f t="shared" si="97"/>
        <v>10554.304399999999</v>
      </c>
      <c r="P154" s="1324">
        <f t="shared" si="98"/>
        <v>11880.966146666666</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75" customHeight="1" thickBot="1">
      <c r="A155" s="2756">
        <f t="shared" si="92"/>
        <v>115</v>
      </c>
      <c r="B155" s="2757" t="s">
        <v>1334</v>
      </c>
      <c r="C155" s="2758">
        <f>C154-C151</f>
        <v>1.900000000887303E-4</v>
      </c>
      <c r="D155" s="2759">
        <f t="shared" ref="D155:P155" si="101">D154-D151</f>
        <v>-128.49630925089446</v>
      </c>
      <c r="E155" s="2759">
        <f t="shared" si="101"/>
        <v>-608.51301292608559</v>
      </c>
      <c r="F155" s="2759">
        <f t="shared" si="101"/>
        <v>-239.42790425089447</v>
      </c>
      <c r="G155" s="2759">
        <f t="shared" si="101"/>
        <v>-134.90549425089444</v>
      </c>
      <c r="H155" s="2759">
        <f t="shared" si="101"/>
        <v>-809.18420125941884</v>
      </c>
      <c r="I155" s="2759">
        <f t="shared" si="101"/>
        <v>-213.39209698581726</v>
      </c>
      <c r="J155" s="2759">
        <f t="shared" si="101"/>
        <v>-605.06149584160221</v>
      </c>
      <c r="K155" s="2759">
        <f t="shared" si="101"/>
        <v>-984.24359865248391</v>
      </c>
      <c r="L155" s="2759">
        <f t="shared" si="101"/>
        <v>-323.13252698581755</v>
      </c>
      <c r="M155" s="2759">
        <f t="shared" si="101"/>
        <v>-445.7747846973873</v>
      </c>
      <c r="N155" s="2760">
        <f t="shared" si="101"/>
        <v>-556.90242920803939</v>
      </c>
      <c r="O155" s="2758">
        <f t="shared" si="101"/>
        <v>-4492.1312351012966</v>
      </c>
      <c r="P155" s="2760">
        <f t="shared" si="101"/>
        <v>-5049.033664309336</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75"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75"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75" customHeight="1">
      <c r="A158" s="2747">
        <f t="shared" si="92"/>
        <v>117</v>
      </c>
      <c r="B158" s="2748" t="s">
        <v>1339</v>
      </c>
      <c r="C158" s="2749">
        <f>C154-C148</f>
        <v>0</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0</v>
      </c>
      <c r="P158" s="1324">
        <f t="shared" si="104"/>
        <v>0</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75" customHeight="1" thickBot="1">
      <c r="A159" s="2756">
        <f t="shared" si="92"/>
        <v>118</v>
      </c>
      <c r="B159" s="2757" t="s">
        <v>1340</v>
      </c>
      <c r="C159" s="2758">
        <f>C158-C157</f>
        <v>1.900000000887303E-4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1.900000000887303E-4</v>
      </c>
      <c r="P159" s="1367">
        <f t="shared" si="104"/>
        <v>1.900000000887303E-4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ht="13">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69140625" defaultRowHeight="13"/>
  <cols>
    <col min="1" max="1" width="4.23046875" style="9" customWidth="1"/>
    <col min="2" max="2" width="17.4609375" style="9" customWidth="1"/>
    <col min="3" max="3" width="22.69140625" style="9" customWidth="1"/>
    <col min="4" max="4" width="8.53515625" style="7" customWidth="1"/>
    <col min="5" max="6" width="7.69140625" style="7" customWidth="1"/>
    <col min="7" max="7" width="8" style="7" customWidth="1"/>
    <col min="8" max="8" width="7.69140625" style="7" customWidth="1"/>
    <col min="9" max="9" width="7.69140625" style="8" customWidth="1"/>
    <col min="10" max="11" width="8.07421875" style="7" customWidth="1"/>
    <col min="12" max="12" width="7.69140625" style="7" customWidth="1"/>
    <col min="13" max="15" width="8.23046875" style="7" customWidth="1"/>
    <col min="16" max="16" width="8.07421875" style="7" customWidth="1"/>
    <col min="17" max="17" width="7.69140625" style="9" customWidth="1"/>
    <col min="18" max="18" width="13.69140625" style="9" customWidth="1"/>
    <col min="19" max="20" width="11.69140625" style="9" customWidth="1"/>
    <col min="21" max="21" width="10.23046875" style="9" customWidth="1"/>
    <col min="22" max="22" width="12" style="9" customWidth="1"/>
    <col min="23" max="23" width="2.07421875" style="9" customWidth="1"/>
    <col min="24" max="24" width="10.53515625" style="9" customWidth="1"/>
    <col min="25" max="29" width="8.69140625" style="757"/>
    <col min="30" max="30" width="57" style="757" customWidth="1"/>
    <col min="31" max="31" width="52.23046875" style="9" customWidth="1"/>
    <col min="32" max="16384" width="8.6914062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Feb 24</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7">
        <f>VLOOKUP(Summary!H1,Summary!V1:W12,2,FALSE)</f>
        <v>11</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1</v>
      </c>
      <c r="F9" s="107">
        <f t="shared" si="1"/>
        <v>1</v>
      </c>
      <c r="G9" s="107">
        <f t="shared" si="1"/>
        <v>1</v>
      </c>
      <c r="H9" s="107">
        <f t="shared" si="1"/>
        <v>1</v>
      </c>
      <c r="I9" s="107">
        <f t="shared" si="1"/>
        <v>1</v>
      </c>
      <c r="J9" s="107">
        <f t="shared" si="1"/>
        <v>1</v>
      </c>
      <c r="K9" s="107">
        <f t="shared" si="1"/>
        <v>1</v>
      </c>
      <c r="L9" s="107">
        <f t="shared" si="1"/>
        <v>1</v>
      </c>
      <c r="M9" s="107">
        <f t="shared" si="1"/>
        <v>1</v>
      </c>
      <c r="N9" s="107">
        <f t="shared" si="1"/>
        <v>1</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1639.5</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1639.5</v>
      </c>
      <c r="Q23" s="939">
        <f t="shared" si="2"/>
        <v>1758</v>
      </c>
      <c r="R23" s="325">
        <f>+P23/Q23</f>
        <v>0.93259385665529015</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1639.5</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1359.0833333333335</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1359.0833333333335</v>
      </c>
      <c r="Q26" s="939">
        <f t="shared" si="2"/>
        <v>1416.0000000000002</v>
      </c>
      <c r="R26" s="325">
        <f>+P26/Q26</f>
        <v>0.95980461393596983</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1359.0833333333335</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2998.5833333333335</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2998.5833333333335</v>
      </c>
      <c r="Q32" s="75">
        <f t="shared" si="14"/>
        <v>3174</v>
      </c>
      <c r="R32" s="325">
        <f>+P32/Q32</f>
        <v>0.94473324931737035</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1359.0833333333335</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5"/>
      <c r="J44" s="612"/>
      <c r="K44" s="612"/>
      <c r="L44" s="612"/>
      <c r="M44" s="612"/>
      <c r="N44" s="612"/>
      <c r="O44" s="916" t="s">
        <v>51</v>
      </c>
      <c r="P44" s="986" t="str">
        <f>+Q3</f>
        <v>Feb 24</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11</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1</v>
      </c>
      <c r="G49" s="108">
        <f t="shared" si="20"/>
        <v>1</v>
      </c>
      <c r="H49" s="108">
        <f t="shared" si="20"/>
        <v>1</v>
      </c>
      <c r="I49" s="108">
        <f t="shared" si="20"/>
        <v>1</v>
      </c>
      <c r="J49" s="108">
        <f t="shared" si="20"/>
        <v>1</v>
      </c>
      <c r="K49" s="108">
        <f t="shared" si="20"/>
        <v>1</v>
      </c>
      <c r="L49" s="108">
        <f t="shared" si="20"/>
        <v>1</v>
      </c>
      <c r="M49" s="108">
        <f t="shared" si="20"/>
        <v>1</v>
      </c>
      <c r="N49" s="108">
        <f t="shared" si="20"/>
        <v>1</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135"/>
      <c r="C51" s="3136"/>
      <c r="D51" s="924" t="s">
        <v>181</v>
      </c>
      <c r="E51" s="105" t="s">
        <v>89</v>
      </c>
      <c r="F51" s="105" t="s">
        <v>90</v>
      </c>
      <c r="G51" s="924" t="s">
        <v>91</v>
      </c>
      <c r="H51" s="105" t="s">
        <v>92</v>
      </c>
      <c r="I51" s="105" t="s">
        <v>93</v>
      </c>
      <c r="J51" s="924" t="s">
        <v>94</v>
      </c>
      <c r="K51" s="105" t="s">
        <v>95</v>
      </c>
      <c r="L51" s="105" t="s">
        <v>96</v>
      </c>
      <c r="M51" s="924" t="s">
        <v>97</v>
      </c>
      <c r="N51" s="105" t="s">
        <v>98</v>
      </c>
      <c r="O51" s="925"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626.08333333333326</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626.08333333333326</v>
      </c>
      <c r="Q57" s="939">
        <f t="shared" si="22"/>
        <v>682.99999999999989</v>
      </c>
      <c r="R57" s="325">
        <f>+P57/Q57</f>
        <v>0.91666666666666674</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1359.0833333333335</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1359.0833333333335</v>
      </c>
      <c r="Q72" s="75">
        <f t="shared" si="22"/>
        <v>1416.0000000000002</v>
      </c>
      <c r="R72" s="325">
        <f>+P72/Q72</f>
        <v>0.95980461393596983</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1</v>
      </c>
      <c r="G79" s="108">
        <f t="shared" si="35"/>
        <v>1</v>
      </c>
      <c r="H79" s="108">
        <f t="shared" si="35"/>
        <v>1</v>
      </c>
      <c r="I79" s="108">
        <f t="shared" si="35"/>
        <v>1</v>
      </c>
      <c r="J79" s="108">
        <f t="shared" si="35"/>
        <v>1</v>
      </c>
      <c r="K79" s="108">
        <f t="shared" si="35"/>
        <v>1</v>
      </c>
      <c r="L79" s="108">
        <f t="shared" si="35"/>
        <v>1</v>
      </c>
      <c r="M79" s="108">
        <f t="shared" si="35"/>
        <v>1</v>
      </c>
      <c r="N79" s="108">
        <f t="shared" si="35"/>
        <v>1</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135"/>
      <c r="C81" s="3136"/>
      <c r="D81" s="924" t="s">
        <v>181</v>
      </c>
      <c r="E81" s="105" t="s">
        <v>89</v>
      </c>
      <c r="F81" s="105" t="s">
        <v>90</v>
      </c>
      <c r="G81" s="924" t="s">
        <v>91</v>
      </c>
      <c r="H81" s="105" t="s">
        <v>92</v>
      </c>
      <c r="I81" s="105" t="s">
        <v>93</v>
      </c>
      <c r="J81" s="924" t="s">
        <v>94</v>
      </c>
      <c r="K81" s="105" t="s">
        <v>95</v>
      </c>
      <c r="L81" s="105" t="s">
        <v>96</v>
      </c>
      <c r="M81" s="924" t="s">
        <v>97</v>
      </c>
      <c r="N81" s="105" t="s">
        <v>98</v>
      </c>
      <c r="O81" s="925"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3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4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3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3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4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3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3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3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3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3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4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3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3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4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1</v>
      </c>
      <c r="G103" s="108">
        <f t="shared" si="48"/>
        <v>1</v>
      </c>
      <c r="H103" s="108">
        <f t="shared" si="48"/>
        <v>1</v>
      </c>
      <c r="I103" s="108">
        <f t="shared" si="48"/>
        <v>1</v>
      </c>
      <c r="J103" s="108">
        <f t="shared" si="48"/>
        <v>1</v>
      </c>
      <c r="K103" s="108">
        <f t="shared" si="48"/>
        <v>1</v>
      </c>
      <c r="L103" s="108">
        <f t="shared" si="48"/>
        <v>1</v>
      </c>
      <c r="M103" s="108">
        <f t="shared" si="48"/>
        <v>1</v>
      </c>
      <c r="N103" s="108">
        <f t="shared" si="48"/>
        <v>1</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6"/>
      <c r="S104" s="3220"/>
      <c r="T104" s="3221"/>
      <c r="U104" s="3216"/>
      <c r="V104" s="3216"/>
      <c r="W104" s="2627"/>
      <c r="X104" s="321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19"/>
      <c r="Q105" s="3048"/>
      <c r="R105" s="2628"/>
      <c r="S105" s="2627"/>
      <c r="T105" s="2627"/>
      <c r="U105" s="2627"/>
      <c r="V105" s="2627"/>
      <c r="W105" s="2629"/>
      <c r="X105" s="321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ht="12.5">
      <c r="A107" s="130">
        <v>1</v>
      </c>
      <c r="B107" s="303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1359.0833333333335</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ht="12.5">
      <c r="A108" s="131">
        <v>2</v>
      </c>
      <c r="B108" s="303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1359.0833333333335</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4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ht="12.5">
      <c r="A110" s="132">
        <v>4</v>
      </c>
      <c r="B110" s="303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1639.5</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ht="12.5">
      <c r="A111" s="131">
        <v>5</v>
      </c>
      <c r="B111" s="303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1639.5</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4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ht="12.5">
      <c r="A113" s="132">
        <v>7</v>
      </c>
      <c r="B113" s="303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ht="12.5">
      <c r="A114" s="131">
        <v>8</v>
      </c>
      <c r="B114" s="303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4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ht="12.5">
      <c r="A116" s="131">
        <v>7</v>
      </c>
      <c r="B116" s="303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ht="12.5">
      <c r="A117" s="131">
        <v>8</v>
      </c>
      <c r="B117" s="303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3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ht="12.5">
      <c r="A119" s="130">
        <v>10</v>
      </c>
      <c r="B119" s="303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ht="12.5">
      <c r="A120" s="131">
        <v>11</v>
      </c>
      <c r="B120" s="3217"/>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8"/>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4" customHeight="1">
      <c r="A122" s="132">
        <v>13</v>
      </c>
      <c r="B122" s="303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ht="12.5">
      <c r="A123" s="131">
        <v>14</v>
      </c>
      <c r="B123" s="303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4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ht="12.5">
      <c r="A125" s="132">
        <v>16</v>
      </c>
      <c r="B125" s="303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ht="12.5">
      <c r="A126" s="131">
        <v>17</v>
      </c>
      <c r="B126" s="303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4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ht="12.5">
      <c r="A128" s="132">
        <v>19</v>
      </c>
      <c r="B128" s="303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ht="12.5">
      <c r="A129" s="131">
        <v>20</v>
      </c>
      <c r="B129" s="303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4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75" customHeight="1">
      <c r="A131" s="132">
        <v>22</v>
      </c>
      <c r="B131" s="303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ht="12.5">
      <c r="A132" s="131">
        <v>23</v>
      </c>
      <c r="B132" s="303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4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ht="12.5">
      <c r="A134" s="130">
        <v>25</v>
      </c>
      <c r="B134" s="303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ht="12.5">
      <c r="A135" s="131">
        <v>26</v>
      </c>
      <c r="B135" s="303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4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ht="12.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2998.5833333333326</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ht="12.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2998.5833333333326</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thickBot="1">
      <c r="A139" s="133">
        <v>30</v>
      </c>
      <c r="B139" s="304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topLeftCell="B41" zoomScale="90" zoomScaleNormal="90" workbookViewId="0">
      <selection activeCell="E48" sqref="E48"/>
    </sheetView>
  </sheetViews>
  <sheetFormatPr defaultRowHeight="15.5"/>
  <cols>
    <col min="1" max="1" width="10.53515625" customWidth="1"/>
    <col min="2" max="2" width="10.4609375" style="1429" customWidth="1"/>
    <col min="3" max="3" width="9.53515625" style="1429" customWidth="1"/>
    <col min="4" max="4" width="10.69140625" style="1429" customWidth="1"/>
    <col min="5" max="5" width="34" style="1430" customWidth="1"/>
    <col min="6" max="6" width="11" style="1429" customWidth="1"/>
    <col min="7" max="9" width="11" style="1431" customWidth="1"/>
    <col min="10" max="11" width="12.53515625" style="1431" customWidth="1"/>
    <col min="12" max="13" width="11" customWidth="1"/>
    <col min="14" max="14" width="11.53515625" customWidth="1"/>
    <col min="15" max="15" width="11.69140625" style="1432" customWidth="1"/>
    <col min="16" max="16" width="10" style="1433" bestFit="1" customWidth="1"/>
    <col min="17" max="17" width="12.07421875" style="1433" bestFit="1" customWidth="1"/>
    <col min="18" max="18" width="9.69140625" style="1433" bestFit="1" customWidth="1"/>
    <col min="19" max="31" width="11.69140625" style="1434" customWidth="1"/>
    <col min="32" max="58" width="11.69140625" customWidth="1"/>
    <col min="61" max="74" width="13.23046875" customWidth="1"/>
    <col min="77" max="78" width="9.23046875" customWidth="1"/>
    <col min="79" max="79" width="7.07421875" customWidth="1"/>
    <col min="80" max="83" width="9.23046875" customWidth="1"/>
    <col min="84" max="95" width="35.69140625" customWidth="1"/>
    <col min="96" max="96" width="2.69140625" customWidth="1"/>
    <col min="97" max="97" width="9.23046875" customWidth="1"/>
    <col min="98" max="98" width="24.23046875" customWidth="1"/>
    <col min="99" max="99" width="2.69140625" customWidth="1"/>
    <col min="100" max="100" width="46.23046875" bestFit="1" customWidth="1"/>
    <col min="101" max="101" width="3" customWidth="1"/>
    <col min="102" max="102" width="9.23046875" customWidth="1"/>
  </cols>
  <sheetData>
    <row r="1" spans="1:102">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11</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c r="A3" s="1048"/>
      <c r="B3" s="1048"/>
      <c r="C3" s="1051"/>
      <c r="D3" s="1052"/>
      <c r="E3" s="1052"/>
      <c r="F3" s="1052"/>
      <c r="G3" s="1052"/>
      <c r="H3" s="1052"/>
      <c r="I3" s="1053"/>
      <c r="J3" s="1052" t="s">
        <v>289</v>
      </c>
      <c r="K3" s="1049"/>
      <c r="L3" s="1052"/>
      <c r="M3" s="1049"/>
      <c r="N3" s="1049"/>
      <c r="O3" s="1049"/>
      <c r="P3" s="140"/>
      <c r="Q3" s="1466"/>
      <c r="R3" s="608"/>
      <c r="S3" s="1143"/>
      <c r="T3" s="1143"/>
      <c r="U3" s="140" t="str">
        <f>+Summary!H1</f>
        <v>Feb 24</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5"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1</v>
      </c>
      <c r="I5" s="1124">
        <f>IF(I6&lt;=VLOOKUP(Summary!$H$1,Summary!$V$1:$W$12,2,FALSE),1,0)</f>
        <v>1</v>
      </c>
      <c r="J5" s="1124">
        <f>IF(J6&lt;=VLOOKUP(Summary!$H$1,Summary!$V$1:$W$12,2,FALSE),1,0)</f>
        <v>1</v>
      </c>
      <c r="K5" s="1124">
        <f>IF(K6&lt;=VLOOKUP(Summary!$H$1,Summary!$V$1:$W$12,2,FALSE),1,0)</f>
        <v>1</v>
      </c>
      <c r="L5" s="1124">
        <f>IF(L6&lt;=VLOOKUP(Summary!$H$1,Summary!$V$1:$W$12,2,FALSE),1,0)</f>
        <v>1</v>
      </c>
      <c r="M5" s="1124">
        <f>IF(M6&lt;=VLOOKUP(Summary!$H$1,Summary!$V$1:$W$12,2,FALSE),1,0)</f>
        <v>1</v>
      </c>
      <c r="N5" s="1124">
        <f>IF(N6&lt;=VLOOKUP(Summary!$H$1,Summary!$V$1:$W$12,2,FALSE),1,0)</f>
        <v>1</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2.5"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0" t="s">
        <v>895</v>
      </c>
      <c r="Y7" s="3230"/>
      <c r="Z7" s="3230"/>
      <c r="AA7" s="3230"/>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5" customHeight="1">
      <c r="A8" s="3073"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2998.5833333333326</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1" t="s">
        <v>604</v>
      </c>
      <c r="Y8" s="3231"/>
      <c r="Z8" s="3231"/>
      <c r="AA8" s="3231"/>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6" thickBot="1">
      <c r="A9" s="3074"/>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2998.5833333333326</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1" t="s">
        <v>568</v>
      </c>
      <c r="Y9" s="3231"/>
      <c r="Z9" s="3231"/>
      <c r="AA9" s="3231"/>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6" thickBot="1">
      <c r="A10" s="3074"/>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1" t="s">
        <v>605</v>
      </c>
      <c r="Y10" s="3231"/>
      <c r="Z10" s="3231"/>
      <c r="AA10" s="3231"/>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074"/>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1" t="s">
        <v>210</v>
      </c>
      <c r="Y11" s="3231"/>
      <c r="Z11" s="3231"/>
      <c r="AA11" s="3231"/>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6" thickBot="1">
      <c r="A12" s="3074"/>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1" t="s">
        <v>606</v>
      </c>
      <c r="Y12" s="3231"/>
      <c r="Z12" s="3231"/>
      <c r="AA12" s="3231"/>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5" customHeight="1" thickBot="1">
      <c r="A13" s="3074"/>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1" t="s">
        <v>607</v>
      </c>
      <c r="Y13" s="3231"/>
      <c r="Z13" s="3231"/>
      <c r="AA13" s="3231"/>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074"/>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2998.5833333333326</v>
      </c>
      <c r="Q14" s="1706">
        <f t="shared" si="1"/>
        <v>3173.9999999999991</v>
      </c>
      <c r="R14" s="1708">
        <f t="shared" ref="R14:U15" si="15">R8+R11</f>
        <v>661</v>
      </c>
      <c r="S14" s="1708">
        <f t="shared" si="15"/>
        <v>2513</v>
      </c>
      <c r="T14" s="1708">
        <f t="shared" si="15"/>
        <v>0</v>
      </c>
      <c r="U14" s="1708">
        <f t="shared" si="15"/>
        <v>2513</v>
      </c>
      <c r="V14" s="1467"/>
      <c r="W14" s="1467"/>
      <c r="X14" s="3231" t="s">
        <v>608</v>
      </c>
      <c r="Y14" s="3231"/>
      <c r="Z14" s="3231"/>
      <c r="AA14" s="3231"/>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6" thickBot="1">
      <c r="A15" s="3074"/>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2998.5833333333326</v>
      </c>
      <c r="Q15" s="938">
        <f t="shared" si="1"/>
        <v>3173.9999999999991</v>
      </c>
      <c r="R15" s="1576">
        <f t="shared" si="15"/>
        <v>661</v>
      </c>
      <c r="S15" s="1576">
        <f t="shared" si="15"/>
        <v>2513</v>
      </c>
      <c r="T15" s="1576">
        <f t="shared" si="15"/>
        <v>0</v>
      </c>
      <c r="U15" s="1576">
        <f t="shared" si="15"/>
        <v>2513</v>
      </c>
      <c r="V15" s="1467"/>
      <c r="W15" s="1467"/>
      <c r="X15" s="3231" t="s">
        <v>609</v>
      </c>
      <c r="Y15" s="3231"/>
      <c r="Z15" s="3231"/>
      <c r="AA15" s="3231"/>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6" thickBot="1">
      <c r="A16" s="3075"/>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1" t="s">
        <v>610</v>
      </c>
      <c r="Y16" s="3231"/>
      <c r="Z16" s="3231"/>
      <c r="AA16" s="3231"/>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073"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1" t="s">
        <v>306</v>
      </c>
      <c r="Y17" s="3231"/>
      <c r="Z17" s="3231"/>
      <c r="AA17" s="3231"/>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5" customHeight="1" thickBot="1">
      <c r="A18" s="3074"/>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1" t="s">
        <v>611</v>
      </c>
      <c r="Y18" s="3231"/>
      <c r="Z18" s="3231"/>
      <c r="AA18" s="3231"/>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6" thickBot="1">
      <c r="A19" s="3074"/>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4" t="s">
        <v>78</v>
      </c>
      <c r="Y19" s="3235"/>
      <c r="Z19" s="3235"/>
      <c r="AA19" s="3236"/>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074"/>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6" thickBot="1">
      <c r="A21" s="3074"/>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6" thickBot="1">
      <c r="A22" s="3074"/>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5" customHeight="1">
      <c r="A23" s="3074"/>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6" thickBot="1">
      <c r="A24" s="3074"/>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6" thickBot="1">
      <c r="A25" s="3075"/>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073"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6" thickBot="1">
      <c r="A27" s="3074"/>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6" thickBot="1">
      <c r="A28" s="3075"/>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073"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2998.5833333333326</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6" thickBot="1">
      <c r="A31" s="3074"/>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2998.5833333333326</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6" thickBot="1">
      <c r="A32" s="3074"/>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074"/>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6" thickBot="1">
      <c r="A34" s="3074"/>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6" thickBot="1">
      <c r="A35" s="3074"/>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074"/>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2998.5833333333326</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6" thickBot="1">
      <c r="A37" s="3074"/>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2998.5833333333326</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6" thickBot="1">
      <c r="A38" s="3075"/>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1</v>
      </c>
      <c r="AH40" s="107">
        <f t="shared" si="40"/>
        <v>1</v>
      </c>
      <c r="AI40" s="107">
        <f t="shared" si="40"/>
        <v>1</v>
      </c>
      <c r="AJ40" s="107">
        <f t="shared" si="40"/>
        <v>1</v>
      </c>
      <c r="AK40" s="107">
        <f t="shared" si="40"/>
        <v>1</v>
      </c>
      <c r="AL40" s="107">
        <f t="shared" si="40"/>
        <v>1</v>
      </c>
      <c r="AM40" s="107">
        <f t="shared" si="40"/>
        <v>1</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2" t="s">
        <v>1417</v>
      </c>
      <c r="BK41" s="3233"/>
      <c r="BL41" s="3233"/>
      <c r="BM41" s="3233"/>
      <c r="BN41" s="3233"/>
      <c r="BO41" s="3233"/>
      <c r="BP41" s="3233"/>
      <c r="BQ41" s="3233"/>
      <c r="BR41" s="3233"/>
      <c r="BS41" s="3233"/>
      <c r="BT41" s="3233"/>
      <c r="BU41" s="3233"/>
      <c r="BV41" s="3233"/>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7.5">
      <c r="A43" s="1482" t="s">
        <v>621</v>
      </c>
      <c r="B43" s="1579" t="s">
        <v>1423</v>
      </c>
      <c r="C43" s="1579" t="s">
        <v>1423</v>
      </c>
      <c r="D43" s="1579" t="s">
        <v>1422</v>
      </c>
      <c r="E43" s="1580" t="s">
        <v>1459</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406.08333333333337</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7.5">
      <c r="A44" s="1482" t="str">
        <f t="shared" ref="A44:A107" si="79">$A$1</f>
        <v>Public Health Wales Trust</v>
      </c>
      <c r="B44" s="1579" t="s">
        <v>1423</v>
      </c>
      <c r="C44" s="1579" t="s">
        <v>1423</v>
      </c>
      <c r="D44" s="1579" t="s">
        <v>1425</v>
      </c>
      <c r="E44" s="1580" t="s">
        <v>1458</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626.08333333333326</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2.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236.5</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2.5">
      <c r="A46" s="1482" t="str">
        <f t="shared" si="79"/>
        <v>Public Health Wales Trust</v>
      </c>
      <c r="B46" s="1579" t="s">
        <v>1424</v>
      </c>
      <c r="C46" s="1579" t="s">
        <v>1424</v>
      </c>
      <c r="D46" s="1579" t="s">
        <v>1427</v>
      </c>
      <c r="E46" s="1580" t="s">
        <v>1460</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440.91666666666663</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2.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165</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2.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55</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2.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2.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C15" sqref="C15"/>
    </sheetView>
  </sheetViews>
  <sheetFormatPr defaultColWidth="8.69140625" defaultRowHeight="15.5"/>
  <cols>
    <col min="1" max="1" width="5.23046875" customWidth="1"/>
    <col min="2" max="2" width="30.23046875" bestFit="1" customWidth="1"/>
    <col min="3" max="5" width="11.23046875" customWidth="1"/>
    <col min="6" max="6" width="2.69140625" customWidth="1"/>
    <col min="7" max="9" width="11.6914062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Feb 24</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0"/>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3" t="s">
        <v>734</v>
      </c>
      <c r="C15" s="41">
        <v>1079</v>
      </c>
      <c r="D15" s="41">
        <v>1239</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353</v>
      </c>
      <c r="D21" s="41">
        <v>203</v>
      </c>
      <c r="E21" s="199">
        <f t="shared" si="2"/>
        <v>556</v>
      </c>
      <c r="F21" s="71"/>
      <c r="G21" s="3011">
        <v>1321</v>
      </c>
      <c r="H21" s="3011">
        <v>925</v>
      </c>
      <c r="I21" s="199">
        <f t="shared" si="3"/>
        <v>2246</v>
      </c>
      <c r="J21" s="71"/>
      <c r="K21" s="71"/>
      <c r="L21" s="71"/>
      <c r="M21" s="332"/>
      <c r="N21" s="332"/>
      <c r="O21" s="332"/>
      <c r="P21" s="332"/>
      <c r="Q21" s="332"/>
      <c r="R21" s="332"/>
      <c r="S21" s="332"/>
      <c r="T21" s="332"/>
      <c r="U21" s="332"/>
      <c r="V21" s="332"/>
      <c r="W21" s="332"/>
    </row>
    <row r="22" spans="1:23">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1">
        <v>0</v>
      </c>
      <c r="H23" s="3011">
        <v>0</v>
      </c>
      <c r="I23" s="199">
        <f t="shared" si="3"/>
        <v>0</v>
      </c>
      <c r="J23" s="71"/>
      <c r="K23" s="71"/>
      <c r="L23" s="71"/>
      <c r="M23" s="332"/>
      <c r="N23" s="332"/>
      <c r="O23" s="332"/>
      <c r="P23" s="332"/>
      <c r="Q23" s="332"/>
      <c r="R23" s="332"/>
      <c r="S23" s="332"/>
      <c r="T23" s="332"/>
      <c r="U23" s="332"/>
      <c r="V23" s="332"/>
      <c r="W23" s="332"/>
    </row>
    <row r="24" spans="1:23">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c r="A25" s="335">
        <v>15</v>
      </c>
      <c r="B25" s="993" t="s">
        <v>538</v>
      </c>
      <c r="C25" s="41">
        <v>2048</v>
      </c>
      <c r="D25" s="41">
        <v>0</v>
      </c>
      <c r="E25" s="199">
        <f t="shared" si="2"/>
        <v>2048</v>
      </c>
      <c r="F25" s="71"/>
      <c r="G25" s="3011">
        <v>0</v>
      </c>
      <c r="H25" s="3011">
        <v>148</v>
      </c>
      <c r="I25" s="199">
        <f t="shared" si="3"/>
        <v>148</v>
      </c>
      <c r="J25" s="71"/>
      <c r="K25" s="71"/>
      <c r="L25" s="71"/>
      <c r="M25" s="332"/>
      <c r="N25" s="332"/>
      <c r="O25" s="332"/>
      <c r="P25" s="332"/>
      <c r="Q25" s="332"/>
      <c r="R25" s="332"/>
      <c r="S25" s="332"/>
      <c r="T25" s="332"/>
      <c r="U25" s="332"/>
      <c r="V25" s="332"/>
      <c r="W25" s="332"/>
    </row>
    <row r="26" spans="1:23">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20326</v>
      </c>
      <c r="D27" s="199">
        <f>SUM(D11:D26)</f>
        <v>8598</v>
      </c>
      <c r="E27" s="199">
        <f>SUM(E11:E26)</f>
        <v>28924</v>
      </c>
      <c r="F27" s="71"/>
      <c r="G27" s="199">
        <f>SUM(G11:G26)</f>
        <v>16911</v>
      </c>
      <c r="H27" s="199">
        <f>SUM(H11:H26)</f>
        <v>23097</v>
      </c>
      <c r="I27" s="199">
        <f>SUM(I11:I26)</f>
        <v>40008</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BK327"/>
  <sheetViews>
    <sheetView zoomScale="80" zoomScaleNormal="80" workbookViewId="0">
      <selection activeCell="D67" sqref="D67:D68"/>
    </sheetView>
  </sheetViews>
  <sheetFormatPr defaultColWidth="8.69140625" defaultRowHeight="15.5"/>
  <cols>
    <col min="1" max="1" width="3" customWidth="1"/>
    <col min="2" max="2" width="66" bestFit="1" customWidth="1"/>
    <col min="3" max="3" width="22.23046875" customWidth="1"/>
    <col min="4" max="4" width="20.69140625" customWidth="1"/>
    <col min="5" max="5" width="24.23046875" style="753" customWidth="1"/>
    <col min="6" max="7" width="8.69140625" style="753"/>
    <col min="8" max="8" width="52.53515625" customWidth="1"/>
    <col min="9" max="9" width="68.69140625" customWidth="1"/>
  </cols>
  <sheetData>
    <row r="1" spans="1:63" ht="36" customHeight="1">
      <c r="A1" s="149" t="str">
        <f>+Summary!A1</f>
        <v>Public Health Wales Trust</v>
      </c>
      <c r="B1" s="71"/>
      <c r="C1" s="359" t="s">
        <v>51</v>
      </c>
      <c r="D1" s="360" t="str">
        <f>+Summary!H1</f>
        <v>Feb 24</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3"/>
      <c r="G5" s="911">
        <f>D28+D37</f>
        <v>7885</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8" t="str">
        <f>Summary!$V$1</f>
        <v>Apr 23</v>
      </c>
      <c r="D7" s="361" t="str">
        <f>+D1</f>
        <v>Feb 24</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31968</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561</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32529</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1910</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38804</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21280</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61994</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94523</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46270</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2586</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6011</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54867</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39656</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7376</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1874</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9250</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30406</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1166</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4275</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30406</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Feb 24</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6" thickBot="1">
      <c r="A55" s="380">
        <f>A49+1</f>
        <v>31</v>
      </c>
      <c r="B55" s="591" t="s">
        <v>1462</v>
      </c>
      <c r="C55" s="42">
        <v>4781</v>
      </c>
      <c r="D55" s="42">
        <v>5053</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6" thickBot="1">
      <c r="A56" s="381">
        <f>A55+1</f>
        <v>32</v>
      </c>
      <c r="B56" s="592" t="s">
        <v>1463</v>
      </c>
      <c r="C56" s="27">
        <v>972</v>
      </c>
      <c r="D56" s="27">
        <v>926</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6" thickBot="1">
      <c r="A57" s="381">
        <f t="shared" ref="A57:A64" si="8">A56+1</f>
        <v>33</v>
      </c>
      <c r="B57" s="592" t="s">
        <v>1464</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6" thickBot="1">
      <c r="A58" s="381">
        <f t="shared" si="8"/>
        <v>34</v>
      </c>
      <c r="B58" s="592" t="s">
        <v>1465</v>
      </c>
      <c r="C58" s="27">
        <v>92</v>
      </c>
      <c r="D58" s="27">
        <v>157</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6" thickBot="1">
      <c r="A59" s="381">
        <f t="shared" si="8"/>
        <v>35</v>
      </c>
      <c r="B59" s="1001" t="s">
        <v>1466</v>
      </c>
      <c r="C59" s="27">
        <v>1586</v>
      </c>
      <c r="D59" s="27">
        <v>1320</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6" thickBot="1">
      <c r="A60" s="381">
        <f t="shared" si="8"/>
        <v>36</v>
      </c>
      <c r="B60" s="592" t="s">
        <v>1467</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1468</v>
      </c>
      <c r="C61" s="27">
        <v>82</v>
      </c>
      <c r="D61" s="27">
        <v>338</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1">
        <f t="shared" si="8"/>
        <v>40</v>
      </c>
      <c r="B64" s="1022" t="s">
        <v>410</v>
      </c>
      <c r="C64" s="117">
        <f>SUM(C55:C63)</f>
        <v>7564</v>
      </c>
      <c r="D64" s="117">
        <f>SUM(D55:D63)</f>
        <v>7885</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2714</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131</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1164</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7" t="s">
        <v>296</v>
      </c>
      <c r="C73" s="29">
        <v>29907</v>
      </c>
      <c r="D73" s="29">
        <f>D34+D25-D72</f>
        <v>45106</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4140</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7" t="s">
        <v>296</v>
      </c>
      <c r="C77" s="29">
        <v>14693</v>
      </c>
      <c r="D77" s="29">
        <f>D18-D76</f>
        <v>17140</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AA158"/>
  <sheetViews>
    <sheetView showGridLines="0" zoomScale="70" zoomScaleNormal="70" workbookViewId="0">
      <selection activeCell="L115" sqref="L115"/>
    </sheetView>
  </sheetViews>
  <sheetFormatPr defaultColWidth="8.69140625" defaultRowHeight="15.5"/>
  <cols>
    <col min="1" max="1" width="4.69140625" customWidth="1"/>
    <col min="2" max="2" width="60.69140625" customWidth="1"/>
    <col min="3" max="6" width="12.4609375" customWidth="1"/>
    <col min="7" max="8" width="13.69140625" customWidth="1"/>
    <col min="9" max="11" width="16" customWidth="1"/>
    <col min="12" max="12" width="32.23046875" customWidth="1"/>
    <col min="13" max="13" width="8.69140625" style="788"/>
    <col min="14" max="17" width="8.69140625" style="754"/>
    <col min="18" max="18" width="54.230468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Feb 24</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c r="A85" s="3116" t="s">
        <v>1114</v>
      </c>
      <c r="B85" s="3117"/>
      <c r="C85" s="337" t="s">
        <v>1110</v>
      </c>
      <c r="D85" s="337" t="s">
        <v>1123</v>
      </c>
      <c r="E85" s="337" t="s">
        <v>1123</v>
      </c>
      <c r="F85" s="337" t="s">
        <v>1123</v>
      </c>
      <c r="G85" s="337" t="s">
        <v>1123</v>
      </c>
      <c r="H85" s="192" t="s">
        <v>78</v>
      </c>
      <c r="I85" s="3120" t="s">
        <v>1204</v>
      </c>
      <c r="J85" s="3121"/>
      <c r="K85" s="3122"/>
      <c r="L85" s="71"/>
      <c r="M85" s="786"/>
      <c r="N85" s="322"/>
      <c r="O85" s="322"/>
      <c r="P85" s="322"/>
      <c r="Q85" s="322"/>
      <c r="R85" s="272"/>
      <c r="S85" s="272"/>
      <c r="T85" s="272"/>
      <c r="U85" s="272"/>
      <c r="V85" s="272"/>
      <c r="W85" s="272"/>
      <c r="X85" s="272"/>
      <c r="Y85" s="272"/>
      <c r="Z85" s="272"/>
      <c r="AA85" s="272"/>
    </row>
    <row r="86" spans="1:27">
      <c r="A86" s="3116"/>
      <c r="B86" s="3117"/>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 thickBot="1">
      <c r="A87" s="3118"/>
      <c r="B87" s="3119"/>
      <c r="C87" s="338" t="s">
        <v>50</v>
      </c>
      <c r="D87" s="338" t="s">
        <v>50</v>
      </c>
      <c r="E87" s="338" t="s">
        <v>50</v>
      </c>
      <c r="F87" s="338" t="s">
        <v>50</v>
      </c>
      <c r="G87" s="338" t="s">
        <v>50</v>
      </c>
      <c r="H87" s="339" t="s">
        <v>50</v>
      </c>
      <c r="I87" s="3123"/>
      <c r="J87" s="3124"/>
      <c r="K87" s="3125"/>
      <c r="L87" s="71"/>
      <c r="M87" s="786"/>
      <c r="N87" s="322"/>
      <c r="O87" s="322"/>
      <c r="P87" s="322"/>
      <c r="Q87" s="322"/>
      <c r="R87" s="272"/>
      <c r="S87" s="272"/>
      <c r="T87" s="272"/>
      <c r="U87" s="272"/>
      <c r="V87" s="272"/>
      <c r="W87" s="272"/>
      <c r="X87" s="272"/>
      <c r="Y87" s="272"/>
      <c r="Z87" s="272"/>
      <c r="AA87" s="272"/>
    </row>
    <row r="88" spans="1:27">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B111"/>
  <sheetViews>
    <sheetView showGridLines="0" zoomScale="90" zoomScaleNormal="90" zoomScaleSheetLayoutView="55" workbookViewId="0">
      <selection activeCell="U23" sqref="U23"/>
    </sheetView>
  </sheetViews>
  <sheetFormatPr defaultColWidth="8.69140625" defaultRowHeight="15.5"/>
  <cols>
    <col min="1" max="1" width="5.69140625" customWidth="1"/>
    <col min="2" max="2" width="60.69140625" customWidth="1"/>
    <col min="3" max="3" width="13.07421875" bestFit="1" customWidth="1"/>
    <col min="4" max="4" width="16.07421875" bestFit="1" customWidth="1"/>
    <col min="5" max="5" width="14.69140625" bestFit="1" customWidth="1"/>
    <col min="6" max="6" width="12.53515625" bestFit="1" customWidth="1"/>
    <col min="7" max="7" width="12.23046875" bestFit="1" customWidth="1"/>
    <col min="8" max="8" width="13.69140625" bestFit="1" customWidth="1"/>
    <col min="9" max="9" width="11.07421875" bestFit="1" customWidth="1"/>
    <col min="10" max="10" width="13.53515625" customWidth="1"/>
    <col min="11" max="14" width="11.07421875" customWidth="1"/>
    <col min="15" max="15" width="10.69140625" customWidth="1"/>
    <col min="16" max="18" width="11.07421875" customWidth="1"/>
    <col min="19" max="19" width="11.23046875" bestFit="1" customWidth="1"/>
    <col min="21" max="21" width="43.23046875" customWidth="1"/>
    <col min="22" max="23" width="8.69140625" style="753"/>
    <col min="24" max="24" width="4.23046875" style="753" customWidth="1"/>
    <col min="25" max="25" width="53.4609375" style="753" customWidth="1"/>
    <col min="26" max="26" width="91" style="753" bestFit="1" customWidth="1"/>
    <col min="27" max="29" width="8.6914062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Feb 24</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556</v>
      </c>
      <c r="O10" s="1657">
        <f>'D - Welsh NHS Assumptions'!E25</f>
        <v>2048</v>
      </c>
      <c r="P10" s="1657">
        <f>'B - Monthly Positions'!Q15-SUM(P13:P47)</f>
        <v>190074.05074666665</v>
      </c>
      <c r="Q10" s="1657">
        <f>'D - Welsh NHS Assumptions'!E24</f>
        <v>0</v>
      </c>
      <c r="R10" s="1657">
        <f>'D - Welsh NHS Assumptions'!E23</f>
        <v>190</v>
      </c>
      <c r="S10" s="1657">
        <v>0</v>
      </c>
      <c r="T10" s="1658">
        <f>SUM(C10:S10)</f>
        <v>218998.05074666665</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v>1398</v>
      </c>
      <c r="Q13" s="1657"/>
      <c r="R13" s="1657"/>
      <c r="S13" s="1657"/>
      <c r="T13" s="1661">
        <f t="shared" ref="T13:T47" si="0">SUM(C13:S13)</f>
        <v>1398</v>
      </c>
      <c r="U13" s="1662" t="s">
        <v>1500</v>
      </c>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v>407</v>
      </c>
      <c r="Q17" s="1"/>
      <c r="R17" s="1"/>
      <c r="S17" s="1"/>
      <c r="T17" s="1664">
        <f t="shared" si="0"/>
        <v>407</v>
      </c>
      <c r="U17" s="1665" t="s">
        <v>1499</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c r="Q18" s="1"/>
      <c r="R18" s="1"/>
      <c r="S18" s="1"/>
      <c r="T18" s="1664">
        <f t="shared" si="0"/>
        <v>0</v>
      </c>
      <c r="U18" s="1665"/>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c r="Q19" s="1"/>
      <c r="R19" s="1"/>
      <c r="S19" s="1"/>
      <c r="T19" s="1664">
        <f t="shared" si="0"/>
        <v>0</v>
      </c>
      <c r="U19" s="1665"/>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2245.6109999999999</v>
      </c>
      <c r="Q22" s="2547"/>
      <c r="R22" s="2547"/>
      <c r="S22" s="2547"/>
      <c r="T22" s="1664">
        <f t="shared" si="0"/>
        <v>2245.6109999999999</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f>'L - EFL'!D21</f>
        <v>-1766</v>
      </c>
      <c r="Q23" s="1"/>
      <c r="R23" s="1"/>
      <c r="S23" s="1"/>
      <c r="T23" s="1664">
        <f t="shared" si="0"/>
        <v>-1766</v>
      </c>
      <c r="U23" s="1665" t="s">
        <v>1501</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1471</v>
      </c>
      <c r="C25" s="1"/>
      <c r="D25" s="1"/>
      <c r="E25" s="1"/>
      <c r="F25" s="1"/>
      <c r="G25" s="1"/>
      <c r="H25" s="1"/>
      <c r="I25" s="1"/>
      <c r="J25" s="1"/>
      <c r="K25" s="1"/>
      <c r="L25" s="1"/>
      <c r="M25" s="1"/>
      <c r="N25" s="1"/>
      <c r="O25" s="1"/>
      <c r="P25" s="1">
        <f>1330+203</f>
        <v>1533</v>
      </c>
      <c r="Q25" s="1"/>
      <c r="R25" s="1"/>
      <c r="S25" s="1"/>
      <c r="T25" s="1664">
        <f t="shared" si="0"/>
        <v>1533</v>
      </c>
      <c r="U25" s="1665" t="s">
        <v>1457</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1470</v>
      </c>
      <c r="C26" s="1"/>
      <c r="D26" s="1"/>
      <c r="E26" s="1"/>
      <c r="F26" s="1"/>
      <c r="G26" s="1"/>
      <c r="H26" s="1"/>
      <c r="I26" s="1"/>
      <c r="J26" s="1"/>
      <c r="K26" s="1"/>
      <c r="L26" s="1"/>
      <c r="M26" s="1"/>
      <c r="N26" s="1"/>
      <c r="O26" s="1"/>
      <c r="P26" s="1">
        <f>4257+680</f>
        <v>4937</v>
      </c>
      <c r="Q26" s="1"/>
      <c r="R26" s="1"/>
      <c r="S26" s="1"/>
      <c r="T26" s="1664">
        <f t="shared" si="0"/>
        <v>4937</v>
      </c>
      <c r="U26" s="1665" t="s">
        <v>1461</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1486</v>
      </c>
      <c r="C27" s="1"/>
      <c r="D27" s="1"/>
      <c r="E27" s="1"/>
      <c r="F27" s="1"/>
      <c r="G27" s="1"/>
      <c r="H27" s="1"/>
      <c r="I27" s="1"/>
      <c r="J27" s="1"/>
      <c r="K27" s="1"/>
      <c r="L27" s="1"/>
      <c r="M27" s="1"/>
      <c r="N27" s="1"/>
      <c r="O27" s="1"/>
      <c r="P27" s="1">
        <v>438</v>
      </c>
      <c r="Q27" s="1"/>
      <c r="R27" s="1"/>
      <c r="S27" s="1"/>
      <c r="T27" s="1664">
        <f t="shared" si="0"/>
        <v>438</v>
      </c>
      <c r="U27" s="1665" t="s">
        <v>1476</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c r="C28" s="1"/>
      <c r="D28" s="1"/>
      <c r="E28" s="1"/>
      <c r="F28" s="1"/>
      <c r="G28" s="1"/>
      <c r="H28" s="1"/>
      <c r="I28" s="1"/>
      <c r="J28" s="1"/>
      <c r="K28" s="1"/>
      <c r="L28" s="1"/>
      <c r="M28" s="1"/>
      <c r="N28" s="1"/>
      <c r="O28" s="1"/>
      <c r="P28" s="1"/>
      <c r="Q28" s="1"/>
      <c r="R28" s="1"/>
      <c r="S28" s="1"/>
      <c r="T28" s="1664">
        <f t="shared" si="0"/>
        <v>0</v>
      </c>
      <c r="U28" s="1665"/>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556</v>
      </c>
      <c r="O48" s="199">
        <f t="shared" si="5"/>
        <v>2048</v>
      </c>
      <c r="P48" s="199">
        <f t="shared" si="5"/>
        <v>199266.66174666665</v>
      </c>
      <c r="Q48" s="199">
        <f t="shared" si="5"/>
        <v>0</v>
      </c>
      <c r="R48" s="199">
        <f t="shared" si="5"/>
        <v>190</v>
      </c>
      <c r="S48" s="199">
        <f t="shared" si="5"/>
        <v>0</v>
      </c>
      <c r="T48" s="199">
        <f t="shared" si="5"/>
        <v>228190.66174666665</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8652.1980000000003</v>
      </c>
      <c r="D53" s="2525">
        <v>1991.6659999999999</v>
      </c>
      <c r="E53" s="2536">
        <f>C53+D53</f>
        <v>10643.864</v>
      </c>
      <c r="F53" s="2539"/>
      <c r="G53" s="2540" t="s">
        <v>1489</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983.15800000000002</v>
      </c>
      <c r="D54" s="2526">
        <v>253.94499999999999</v>
      </c>
      <c r="E54" s="2537">
        <f t="shared" ref="E54:E82" si="6">C54+D54</f>
        <v>1237.1030000000001</v>
      </c>
      <c r="F54" s="2542"/>
      <c r="G54" s="2538" t="s">
        <v>1489</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9635.3559999999998</v>
      </c>
      <c r="D83" s="2527">
        <f t="shared" si="9"/>
        <v>2245.6109999999999</v>
      </c>
      <c r="E83" s="117">
        <f>SUM(E53:E82)</f>
        <v>11880.967000000001</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1" activePane="bottomRight" state="frozen"/>
      <selection activeCell="A3" sqref="A3"/>
      <selection pane="topRight" activeCell="C3" sqref="C3"/>
      <selection pane="bottomLeft" activeCell="A11" sqref="A11"/>
      <selection pane="bottomRight" activeCell="N32" sqref="N32"/>
    </sheetView>
  </sheetViews>
  <sheetFormatPr defaultColWidth="8.69140625" defaultRowHeight="15.5"/>
  <cols>
    <col min="1" max="1" width="4.23046875" customWidth="1"/>
    <col min="2" max="2" width="69" customWidth="1"/>
    <col min="3" max="3" width="12" customWidth="1"/>
    <col min="4" max="4" width="13.23046875" customWidth="1"/>
    <col min="5" max="14" width="12.23046875" customWidth="1"/>
    <col min="15" max="15" width="13.69140625" style="753" customWidth="1"/>
    <col min="16" max="16" width="5.69140625" style="753" customWidth="1"/>
    <col min="17" max="17" width="32.4609375" customWidth="1"/>
    <col min="18" max="18" width="95.69140625" customWidth="1"/>
  </cols>
  <sheetData>
    <row r="1" spans="1:44" ht="30">
      <c r="A1" s="79" t="str">
        <f>+Summary!A1</f>
        <v>Public Health Wales Trust</v>
      </c>
      <c r="B1" s="70"/>
      <c r="C1" s="70"/>
      <c r="D1" s="70"/>
      <c r="E1" s="70"/>
      <c r="F1" s="70"/>
      <c r="G1" s="70"/>
      <c r="H1" s="70"/>
      <c r="I1" s="70"/>
      <c r="J1" s="71"/>
      <c r="K1" s="71"/>
      <c r="L1" s="70"/>
      <c r="M1" s="150" t="s">
        <v>460</v>
      </c>
      <c r="N1" s="72" t="str">
        <f>+Summary!H1</f>
        <v>Feb 24</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13815.527</v>
      </c>
      <c r="H13" s="3">
        <v>20290.435000000001</v>
      </c>
      <c r="I13" s="3">
        <v>13994.01</v>
      </c>
      <c r="J13" s="3">
        <v>17532.088</v>
      </c>
      <c r="K13" s="3">
        <v>24531.22</v>
      </c>
      <c r="L13" s="3">
        <v>17867</v>
      </c>
      <c r="M13" s="3">
        <f>14416-1</f>
        <v>14415</v>
      </c>
      <c r="N13" s="3">
        <f>M13+1206</f>
        <v>15621</v>
      </c>
      <c r="O13" s="167">
        <f t="shared" si="0"/>
        <v>203437.96317</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2195.1680000000001</v>
      </c>
      <c r="H15" s="3">
        <v>2037</v>
      </c>
      <c r="I15" s="3">
        <v>3224.2489999999998</v>
      </c>
      <c r="J15" s="3">
        <v>2173.0509999999999</v>
      </c>
      <c r="K15" s="3">
        <v>1651.56</v>
      </c>
      <c r="L15" s="3">
        <f>3759-1</f>
        <v>3758</v>
      </c>
      <c r="M15" s="3">
        <v>2150</v>
      </c>
      <c r="N15" s="3">
        <f t="shared" ref="N15" si="2">M15</f>
        <v>2150</v>
      </c>
      <c r="O15" s="167">
        <f>SUM(C15:N15)</f>
        <v>27715.742340000001</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v>82.58</v>
      </c>
      <c r="H18" s="3">
        <v>92.6</v>
      </c>
      <c r="I18" s="3">
        <v>84.697999999999993</v>
      </c>
      <c r="J18" s="3">
        <v>94.356999999999999</v>
      </c>
      <c r="K18" s="3">
        <v>96.876999999999995</v>
      </c>
      <c r="L18" s="3">
        <v>135</v>
      </c>
      <c r="M18" s="3">
        <v>142</v>
      </c>
      <c r="N18" s="3">
        <f t="shared" ref="N18" si="3">M18</f>
        <v>142</v>
      </c>
      <c r="O18" s="167">
        <f>SUM(C18:N18)</f>
        <v>1148.241</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v>959.57299999999998</v>
      </c>
      <c r="H20" s="3">
        <v>451.62400000000002</v>
      </c>
      <c r="I20" s="3">
        <v>-152.67699999999999</v>
      </c>
      <c r="J20" s="3">
        <v>587.01599999999996</v>
      </c>
      <c r="K20" s="3">
        <v>844.06600000000003</v>
      </c>
      <c r="L20" s="3">
        <v>499</v>
      </c>
      <c r="M20" s="3">
        <v>442</v>
      </c>
      <c r="N20" s="3">
        <f>M20</f>
        <v>442</v>
      </c>
      <c r="O20" s="167">
        <f t="shared" si="0"/>
        <v>7039.17533</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4">SUM(C11:C20)</f>
        <v>18934.251639999999</v>
      </c>
      <c r="D21" s="169">
        <f t="shared" si="4"/>
        <v>21131.838199999998</v>
      </c>
      <c r="E21" s="169">
        <f t="shared" si="4"/>
        <v>18921.271999999997</v>
      </c>
      <c r="F21" s="169">
        <f t="shared" si="4"/>
        <v>18005.738000000001</v>
      </c>
      <c r="G21" s="169">
        <f t="shared" si="4"/>
        <v>17052.847999999998</v>
      </c>
      <c r="H21" s="169">
        <f t="shared" si="4"/>
        <v>22871.659</v>
      </c>
      <c r="I21" s="169">
        <f t="shared" si="4"/>
        <v>17150.28</v>
      </c>
      <c r="J21" s="169">
        <f t="shared" si="4"/>
        <v>20386.511999999999</v>
      </c>
      <c r="K21" s="169">
        <f t="shared" si="4"/>
        <v>27123.723000000002</v>
      </c>
      <c r="L21" s="169">
        <f t="shared" si="4"/>
        <v>22259</v>
      </c>
      <c r="M21" s="169">
        <f t="shared" si="4"/>
        <v>17149</v>
      </c>
      <c r="N21" s="169">
        <f t="shared" si="4"/>
        <v>18355</v>
      </c>
      <c r="O21" s="169">
        <f t="shared" si="4"/>
        <v>239341.12184000001</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5">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5"/>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6">A24+1</f>
        <v>14</v>
      </c>
      <c r="B25" s="156" t="s">
        <v>158</v>
      </c>
      <c r="C25" s="4"/>
      <c r="D25" s="4"/>
      <c r="E25" s="4"/>
      <c r="F25" s="4"/>
      <c r="G25" s="4"/>
      <c r="H25" s="4"/>
      <c r="I25" s="4"/>
      <c r="J25" s="4"/>
      <c r="K25" s="4"/>
      <c r="L25" s="4"/>
      <c r="M25" s="4"/>
      <c r="N25" s="4"/>
      <c r="O25" s="723">
        <f t="shared" si="5"/>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6"/>
        <v>15</v>
      </c>
      <c r="B26" s="156" t="s">
        <v>159</v>
      </c>
      <c r="C26" s="4"/>
      <c r="D26" s="4"/>
      <c r="E26" s="4"/>
      <c r="F26" s="4"/>
      <c r="G26" s="4"/>
      <c r="H26" s="4"/>
      <c r="I26" s="4"/>
      <c r="J26" s="4"/>
      <c r="K26" s="4"/>
      <c r="L26" s="4"/>
      <c r="M26" s="4"/>
      <c r="N26" s="4"/>
      <c r="O26" s="723">
        <f t="shared" si="5"/>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6"/>
        <v>16</v>
      </c>
      <c r="B27" s="156" t="s">
        <v>430</v>
      </c>
      <c r="C27" s="4"/>
      <c r="D27" s="4"/>
      <c r="E27" s="4"/>
      <c r="F27" s="4"/>
      <c r="G27" s="4"/>
      <c r="H27" s="4"/>
      <c r="I27" s="4"/>
      <c r="J27" s="4"/>
      <c r="K27" s="4"/>
      <c r="L27" s="4"/>
      <c r="M27" s="4"/>
      <c r="N27" s="4"/>
      <c r="O27" s="723">
        <f t="shared" si="5"/>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6"/>
        <v>17</v>
      </c>
      <c r="B28" s="156" t="s">
        <v>301</v>
      </c>
      <c r="C28" s="4">
        <f>10580251.6/1000</f>
        <v>10580.2516</v>
      </c>
      <c r="D28" s="4">
        <f>10711000.9/1000</f>
        <v>10711.000900000001</v>
      </c>
      <c r="E28" s="4">
        <v>12275.111000000001</v>
      </c>
      <c r="F28" s="4">
        <v>12439.022999999999</v>
      </c>
      <c r="G28" s="4">
        <v>11292.868</v>
      </c>
      <c r="H28" s="4">
        <v>10599.566999999999</v>
      </c>
      <c r="I28" s="4">
        <f>11188.096+622</f>
        <v>11810.096</v>
      </c>
      <c r="J28" s="4">
        <v>10903.411</v>
      </c>
      <c r="K28" s="4">
        <v>10935.165000000001</v>
      </c>
      <c r="L28" s="4">
        <v>11612</v>
      </c>
      <c r="M28" s="4">
        <f>11423</f>
        <v>11423</v>
      </c>
      <c r="N28" s="4">
        <f>M28</f>
        <v>11423</v>
      </c>
      <c r="O28" s="723">
        <f t="shared" si="5"/>
        <v>136004.49350000001</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6"/>
        <v>18</v>
      </c>
      <c r="B29" s="156" t="s">
        <v>302</v>
      </c>
      <c r="C29" s="4">
        <f>11879457.74/1000</f>
        <v>11879.45774</v>
      </c>
      <c r="D29" s="4">
        <f>7378714.47/1000</f>
        <v>7378.7144699999999</v>
      </c>
      <c r="E29" s="4">
        <v>5829.0730000000003</v>
      </c>
      <c r="F29" s="4">
        <v>7140.2889999999998</v>
      </c>
      <c r="G29" s="4">
        <v>7518.576</v>
      </c>
      <c r="H29" s="4">
        <f>6136.461+1</f>
        <v>6137.4610000000002</v>
      </c>
      <c r="I29" s="4">
        <v>8415.0069999999996</v>
      </c>
      <c r="J29" s="4">
        <v>6111.0320000000002</v>
      </c>
      <c r="K29" s="4">
        <v>7522.5110000000004</v>
      </c>
      <c r="L29" s="4">
        <v>11957</v>
      </c>
      <c r="M29" s="4">
        <v>9673</v>
      </c>
      <c r="N29" s="4">
        <f>8580+573</f>
        <v>9153</v>
      </c>
      <c r="O29" s="723">
        <f t="shared" si="5"/>
        <v>98715.121209999998</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6"/>
        <v>19</v>
      </c>
      <c r="B30" s="173" t="s">
        <v>883</v>
      </c>
      <c r="C30" s="4"/>
      <c r="D30" s="4"/>
      <c r="E30" s="4"/>
      <c r="F30" s="4"/>
      <c r="G30" s="4"/>
      <c r="H30" s="4"/>
      <c r="I30" s="4"/>
      <c r="J30" s="3"/>
      <c r="K30" s="3"/>
      <c r="L30" s="3"/>
      <c r="M30" s="3"/>
      <c r="N30" s="3"/>
      <c r="O30" s="167">
        <f t="shared" si="5"/>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6"/>
        <v>20</v>
      </c>
      <c r="B31" s="173" t="s">
        <v>884</v>
      </c>
      <c r="C31" s="4"/>
      <c r="D31" s="4"/>
      <c r="E31" s="4"/>
      <c r="F31" s="4"/>
      <c r="G31" s="4"/>
      <c r="H31" s="4"/>
      <c r="I31" s="4"/>
      <c r="J31" s="3"/>
      <c r="K31" s="3"/>
      <c r="L31" s="3"/>
      <c r="M31" s="3"/>
      <c r="N31" s="3">
        <f>-'L - EFL'!C31</f>
        <v>2110.0004800000002</v>
      </c>
      <c r="O31" s="167">
        <f t="shared" si="5"/>
        <v>2110.0004800000002</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6"/>
        <v>21</v>
      </c>
      <c r="B32" s="173" t="s">
        <v>153</v>
      </c>
      <c r="C32" s="4">
        <v>218.57300000000001</v>
      </c>
      <c r="D32" s="4">
        <f>'J - Capital In Year Schemes'!G78</f>
        <v>4.3491500000000007</v>
      </c>
      <c r="E32" s="4">
        <v>3.698</v>
      </c>
      <c r="F32" s="4">
        <v>45.966000000000001</v>
      </c>
      <c r="G32" s="4">
        <v>14.34</v>
      </c>
      <c r="H32" s="4">
        <v>67.578000000000003</v>
      </c>
      <c r="I32" s="4">
        <v>11.494</v>
      </c>
      <c r="J32" s="4">
        <v>71.138999999999996</v>
      </c>
      <c r="K32" s="4">
        <v>53.414999999999999</v>
      </c>
      <c r="L32" s="4">
        <v>242</v>
      </c>
      <c r="M32" s="4">
        <v>399</v>
      </c>
      <c r="N32" s="4">
        <f>'J - Capital In Year Schemes'!Q78</f>
        <v>1379.7077300000001</v>
      </c>
      <c r="O32" s="723">
        <f t="shared" si="5"/>
        <v>2511.2598800000001</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6"/>
        <v>22</v>
      </c>
      <c r="B33" s="182" t="s">
        <v>394</v>
      </c>
      <c r="C33" s="2"/>
      <c r="D33" s="2"/>
      <c r="E33" s="2"/>
      <c r="F33" s="2"/>
      <c r="G33" s="2"/>
      <c r="H33" s="2"/>
      <c r="I33" s="2"/>
      <c r="J33" s="2"/>
      <c r="K33" s="2"/>
      <c r="L33" s="2"/>
      <c r="M33" s="2"/>
      <c r="N33" s="2"/>
      <c r="O33" s="987">
        <f t="shared" si="5"/>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6"/>
        <v>23</v>
      </c>
      <c r="B34" s="184" t="s">
        <v>145</v>
      </c>
      <c r="C34" s="169">
        <f t="shared" ref="C34:O34" si="7">SUM(C23:C33)</f>
        <v>22678.282340000002</v>
      </c>
      <c r="D34" s="169">
        <f t="shared" si="7"/>
        <v>18094.06452</v>
      </c>
      <c r="E34" s="169">
        <f t="shared" si="7"/>
        <v>18107.882000000001</v>
      </c>
      <c r="F34" s="169">
        <f t="shared" si="7"/>
        <v>19625.277999999998</v>
      </c>
      <c r="G34" s="169">
        <f t="shared" si="7"/>
        <v>18825.784</v>
      </c>
      <c r="H34" s="169">
        <f t="shared" si="7"/>
        <v>16804.606</v>
      </c>
      <c r="I34" s="169">
        <f t="shared" si="7"/>
        <v>20236.596999999998</v>
      </c>
      <c r="J34" s="169">
        <f t="shared" si="7"/>
        <v>17085.581999999999</v>
      </c>
      <c r="K34" s="169">
        <f t="shared" si="7"/>
        <v>18511.091</v>
      </c>
      <c r="L34" s="169">
        <f t="shared" si="7"/>
        <v>23811</v>
      </c>
      <c r="M34" s="169">
        <f t="shared" si="7"/>
        <v>21495</v>
      </c>
      <c r="N34" s="169">
        <f t="shared" si="7"/>
        <v>24065.708209999997</v>
      </c>
      <c r="O34" s="169">
        <f t="shared" si="7"/>
        <v>239340.87506999998</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8">IF(E39=E40,1,0)</f>
        <v>0</v>
      </c>
      <c r="F35" s="859">
        <f t="shared" si="8"/>
        <v>0</v>
      </c>
      <c r="G35" s="859">
        <f t="shared" si="8"/>
        <v>0</v>
      </c>
      <c r="H35" s="859">
        <f t="shared" si="8"/>
        <v>0</v>
      </c>
      <c r="I35" s="859">
        <f t="shared" si="8"/>
        <v>0</v>
      </c>
      <c r="J35" s="859">
        <f t="shared" si="8"/>
        <v>0</v>
      </c>
      <c r="K35" s="859">
        <f t="shared" si="8"/>
        <v>0</v>
      </c>
      <c r="L35" s="859">
        <f t="shared" si="8"/>
        <v>0</v>
      </c>
      <c r="M35" s="859">
        <f t="shared" si="8"/>
        <v>1</v>
      </c>
      <c r="N35" s="859">
        <f t="shared" si="8"/>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9">IF(C21="","",SUM(C21-C34))</f>
        <v>-3744.030700000003</v>
      </c>
      <c r="D36" s="167">
        <f t="shared" si="9"/>
        <v>3037.7736799999984</v>
      </c>
      <c r="E36" s="167">
        <f t="shared" si="9"/>
        <v>813.38999999999578</v>
      </c>
      <c r="F36" s="167">
        <f t="shared" si="9"/>
        <v>-1619.5399999999972</v>
      </c>
      <c r="G36" s="167">
        <f t="shared" si="9"/>
        <v>-1772.9360000000015</v>
      </c>
      <c r="H36" s="167">
        <f t="shared" si="9"/>
        <v>6067.0529999999999</v>
      </c>
      <c r="I36" s="167">
        <f t="shared" si="9"/>
        <v>-3086.3169999999991</v>
      </c>
      <c r="J36" s="167">
        <f t="shared" si="9"/>
        <v>3300.9300000000003</v>
      </c>
      <c r="K36" s="167">
        <f t="shared" si="9"/>
        <v>8612.6320000000014</v>
      </c>
      <c r="L36" s="167">
        <f t="shared" si="9"/>
        <v>-1552</v>
      </c>
      <c r="M36" s="167">
        <f t="shared" si="9"/>
        <v>-4346</v>
      </c>
      <c r="N36" s="167">
        <f t="shared" si="9"/>
        <v>-5710.7082099999971</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0">C38</f>
        <v>11824.969299999997</v>
      </c>
      <c r="E37" s="168">
        <f t="shared" si="10"/>
        <v>14862.742979999995</v>
      </c>
      <c r="F37" s="168">
        <f t="shared" si="10"/>
        <v>15676.132979999991</v>
      </c>
      <c r="G37" s="168">
        <f t="shared" si="10"/>
        <v>14056.592979999994</v>
      </c>
      <c r="H37" s="168">
        <f t="shared" si="10"/>
        <v>12283.656979999992</v>
      </c>
      <c r="I37" s="168">
        <f t="shared" si="10"/>
        <v>18350.709979999992</v>
      </c>
      <c r="J37" s="168">
        <f t="shared" si="10"/>
        <v>15264.392979999993</v>
      </c>
      <c r="K37" s="168">
        <f>J38</f>
        <v>18565.322979999994</v>
      </c>
      <c r="L37" s="168">
        <f>K38</f>
        <v>27177.954979999995</v>
      </c>
      <c r="M37" s="168">
        <f>L38</f>
        <v>25625.954979999995</v>
      </c>
      <c r="N37" s="168">
        <f>M38</f>
        <v>21279.954979999995</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1">IF(E36="","",SUM(E36+E37))</f>
        <v>15676.132979999991</v>
      </c>
      <c r="F38" s="167">
        <f t="shared" si="11"/>
        <v>14056.592979999994</v>
      </c>
      <c r="G38" s="167">
        <f t="shared" si="11"/>
        <v>12283.656979999992</v>
      </c>
      <c r="H38" s="167">
        <f t="shared" si="11"/>
        <v>18350.709979999992</v>
      </c>
      <c r="I38" s="167">
        <f t="shared" si="11"/>
        <v>15264.392979999993</v>
      </c>
      <c r="J38" s="167">
        <f t="shared" si="11"/>
        <v>18565.322979999994</v>
      </c>
      <c r="K38" s="167">
        <f t="shared" si="11"/>
        <v>27177.954979999995</v>
      </c>
      <c r="L38" s="167">
        <f t="shared" si="11"/>
        <v>25625.954979999995</v>
      </c>
      <c r="M38" s="167">
        <f t="shared" si="11"/>
        <v>21279.954979999995</v>
      </c>
      <c r="N38" s="167">
        <f t="shared" si="11"/>
        <v>15569.246769999998</v>
      </c>
      <c r="O38" s="330" t="str">
        <f t="shared" si="11"/>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11</v>
      </c>
      <c r="D40" s="850">
        <f>+'B - Monthly Positions'!$C$5</f>
        <v>11</v>
      </c>
      <c r="E40" s="850">
        <f>+'B - Monthly Positions'!$C$5</f>
        <v>11</v>
      </c>
      <c r="F40" s="850">
        <f>+'B - Monthly Positions'!$C$5</f>
        <v>11</v>
      </c>
      <c r="G40" s="850">
        <f>+'B - Monthly Positions'!$C$5</f>
        <v>11</v>
      </c>
      <c r="H40" s="850">
        <f>+'B - Monthly Positions'!$C$5</f>
        <v>11</v>
      </c>
      <c r="I40" s="850">
        <f>+'B - Monthly Positions'!$C$5</f>
        <v>11</v>
      </c>
      <c r="J40" s="850">
        <f>+'B - Monthly Positions'!$C$5</f>
        <v>11</v>
      </c>
      <c r="K40" s="850">
        <f>+'B - Monthly Positions'!$C$5</f>
        <v>11</v>
      </c>
      <c r="L40" s="850">
        <f>+'B - Monthly Positions'!$C$5</f>
        <v>11</v>
      </c>
      <c r="M40" s="850">
        <f>+'B - Monthly Positions'!$C$5</f>
        <v>11</v>
      </c>
      <c r="N40" s="850">
        <f>+'B - Monthly Positions'!$C$5</f>
        <v>11</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election activeCell="N22" sqref="N22"/>
    </sheetView>
  </sheetViews>
  <sheetFormatPr defaultColWidth="8.69140625" defaultRowHeight="15.5"/>
  <cols>
    <col min="1" max="1" width="4.69140625" customWidth="1"/>
    <col min="2" max="2" width="60.6914062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Feb 24</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v>0.91190000000000004</v>
      </c>
      <c r="G8" s="958">
        <f>+F8-$C8</f>
        <v>-3.8099999999999912E-2</v>
      </c>
      <c r="H8" s="957">
        <v>0.90610000000000002</v>
      </c>
      <c r="I8" s="958">
        <f>+H8-$C8</f>
        <v>-4.3899999999999939E-2</v>
      </c>
      <c r="J8" s="957"/>
      <c r="K8" s="958">
        <f>+J8-$C8</f>
        <v>-0.95</v>
      </c>
      <c r="L8" s="957">
        <v>0.93640000000000001</v>
      </c>
      <c r="M8" s="958">
        <f>+L8-$C8</f>
        <v>-1.3599999999999945E-2</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v>0.89539999999999997</v>
      </c>
      <c r="G9" s="958">
        <f t="shared" si="0"/>
        <v>-5.4599999999999982E-2</v>
      </c>
      <c r="H9" s="957">
        <v>0.86709999999999998</v>
      </c>
      <c r="I9" s="958">
        <f>+H9-$C9</f>
        <v>-8.2899999999999974E-2</v>
      </c>
      <c r="J9" s="957"/>
      <c r="K9" s="958">
        <f>+J9-$C9</f>
        <v>-0.95</v>
      </c>
      <c r="L9" s="957">
        <v>0.91569999999999996</v>
      </c>
      <c r="M9" s="958">
        <f>+L9-$C9</f>
        <v>-3.4299999999999997E-2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v>0.97260000000000002</v>
      </c>
      <c r="G10" s="958">
        <f t="shared" si="0"/>
        <v>2.2600000000000064E-2</v>
      </c>
      <c r="H10" s="957">
        <v>0.9647</v>
      </c>
      <c r="I10" s="958">
        <f>+H10-$C10</f>
        <v>1.4700000000000046E-2</v>
      </c>
      <c r="J10" s="957"/>
      <c r="K10" s="958">
        <f>+J10-$C10</f>
        <v>-0.95</v>
      </c>
      <c r="L10" s="957">
        <v>0.9607</v>
      </c>
      <c r="M10" s="958">
        <f>+L10-$C10</f>
        <v>1.0700000000000043E-2</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v>0.96540000000000004</v>
      </c>
      <c r="G11" s="958">
        <f t="shared" si="0"/>
        <v>1.540000000000008E-2</v>
      </c>
      <c r="H11" s="957">
        <v>0.96850000000000003</v>
      </c>
      <c r="I11" s="958">
        <f>+H11-$C11</f>
        <v>1.8500000000000072E-2</v>
      </c>
      <c r="J11" s="957"/>
      <c r="K11" s="958">
        <f>+J11-$C11</f>
        <v>-0.95</v>
      </c>
      <c r="L11" s="957">
        <v>0.96779999999999999</v>
      </c>
      <c r="M11" s="958">
        <f>+L11-$C11</f>
        <v>1.7800000000000038E-2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v>0.27360000000000001</v>
      </c>
      <c r="G18" s="959"/>
      <c r="H18" s="957">
        <v>0.24349999999999999</v>
      </c>
      <c r="I18" s="959"/>
      <c r="J18" s="957"/>
      <c r="K18" s="959"/>
      <c r="L18" s="957">
        <v>0.372</v>
      </c>
      <c r="M18" s="959"/>
      <c r="N18" s="957">
        <v>0.5</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v>0.46700000000000003</v>
      </c>
      <c r="G19" s="959"/>
      <c r="H19" s="957">
        <v>0.30580000000000002</v>
      </c>
      <c r="I19" s="959"/>
      <c r="J19" s="957"/>
      <c r="K19" s="959"/>
      <c r="L19" s="957">
        <v>0.33040000000000003</v>
      </c>
      <c r="M19" s="959"/>
      <c r="N19" s="957">
        <v>0.5</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v>0.77629999999999999</v>
      </c>
      <c r="G20" s="959"/>
      <c r="H20" s="957">
        <v>0.76139999999999997</v>
      </c>
      <c r="I20" s="959"/>
      <c r="J20" s="957"/>
      <c r="K20" s="959"/>
      <c r="L20" s="957">
        <v>0.75380000000000003</v>
      </c>
      <c r="M20" s="959"/>
      <c r="N20" s="957">
        <v>0.75</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v>0.74929999999999997</v>
      </c>
      <c r="G21" s="960"/>
      <c r="H21" s="957">
        <v>0.71579999999999999</v>
      </c>
      <c r="I21" s="960"/>
      <c r="J21" s="957"/>
      <c r="K21" s="960"/>
      <c r="L21" s="957">
        <v>0.72340000000000004</v>
      </c>
      <c r="M21" s="960"/>
      <c r="N21" s="957">
        <v>0.75</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69140625" defaultRowHeight="15.5"/>
  <cols>
    <col min="3" max="3" width="26.23046875" customWidth="1"/>
    <col min="5" max="5" width="43" customWidth="1"/>
    <col min="6" max="6" width="19.69140625" customWidth="1"/>
    <col min="7" max="18" width="6.4609375" customWidth="1"/>
    <col min="19" max="19" width="5.6914062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Feb 24</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Feb 24</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Feb 24</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Feb 24</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Feb 24</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Feb 24</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Feb 24</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Feb 24</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Feb 24</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Feb 24</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Feb 24</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Feb 24</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Feb 24</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Feb 24</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Feb 24</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Feb 24</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Feb 24</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Feb 24</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Feb 24</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Feb 24</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Feb 24</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Feb 24</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1.900000000887303E-4</v>
      </c>
      <c r="H23" s="2895">
        <f>ORG!X32</f>
        <v>-128.49630925089446</v>
      </c>
      <c r="I23" s="2895">
        <f>ORG!Y32</f>
        <v>-608.51301292608559</v>
      </c>
      <c r="J23" s="2895">
        <f>ORG!Z32</f>
        <v>-239.42790425089447</v>
      </c>
      <c r="K23" s="2895">
        <f>ORG!AA32</f>
        <v>-134.90549425089444</v>
      </c>
      <c r="L23" s="2895">
        <f>ORG!AB32</f>
        <v>-809.18420125941884</v>
      </c>
      <c r="M23" s="2895">
        <f>ORG!AC32</f>
        <v>-213.39209698581726</v>
      </c>
      <c r="N23" s="2895">
        <f>ORG!AD32</f>
        <v>-605.06149584160221</v>
      </c>
      <c r="O23" s="2895">
        <f>ORG!AE32</f>
        <v>-984.24359865248391</v>
      </c>
      <c r="P23" s="2895">
        <f>ORG!AF32</f>
        <v>-323.13252698581755</v>
      </c>
      <c r="Q23" s="2895">
        <f>ORG!AG32</f>
        <v>-445.7747846973873</v>
      </c>
      <c r="R23" s="2895">
        <f>ORG!AH32</f>
        <v>-556.90242920803939</v>
      </c>
      <c r="S23" s="2895">
        <f>ORG!O32</f>
        <v>-5049.0336643093351</v>
      </c>
      <c r="U23">
        <f t="shared" si="0"/>
        <v>-5049.0336643093351</v>
      </c>
    </row>
    <row r="24" spans="1:21">
      <c r="A24" s="2894" t="str">
        <f>ORG!$S$1</f>
        <v>Feb 24</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Feb 24</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134.90549425089444</v>
      </c>
      <c r="L25" s="2895">
        <f>ORG!AB34</f>
        <v>809.18420125941884</v>
      </c>
      <c r="M25" s="2895">
        <f>ORG!AC34</f>
        <v>213.39209698581726</v>
      </c>
      <c r="N25" s="2895">
        <f>ORG!AD34</f>
        <v>605.06149584160221</v>
      </c>
      <c r="O25" s="2895">
        <f>ORG!AE34</f>
        <v>984.24359865248391</v>
      </c>
      <c r="P25" s="2895">
        <f>ORG!AF34</f>
        <v>323.13252698581755</v>
      </c>
      <c r="Q25" s="2895">
        <f>ORG!AG34</f>
        <v>445.7747846973873</v>
      </c>
      <c r="R25" s="2895">
        <f>ORG!AH34</f>
        <v>556.90242920803939</v>
      </c>
      <c r="S25" s="2895">
        <f>ORG!O34</f>
        <v>5049.0338543093358</v>
      </c>
      <c r="U25">
        <f t="shared" si="0"/>
        <v>5049.0338543093358</v>
      </c>
    </row>
    <row r="26" spans="1:21">
      <c r="A26" s="2894" t="str">
        <f>ORG!$S$1</f>
        <v>Feb 24</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Feb 24</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-147</v>
      </c>
      <c r="L27" s="2895">
        <f>ORG!AB36</f>
        <v>114</v>
      </c>
      <c r="M27" s="2895">
        <f>ORG!AC36</f>
        <v>-4</v>
      </c>
      <c r="N27" s="2895">
        <f>ORG!AD36</f>
        <v>-108</v>
      </c>
      <c r="O27" s="2895">
        <f>ORG!AE36</f>
        <v>8</v>
      </c>
      <c r="P27" s="2895">
        <f>ORG!AF36</f>
        <v>46</v>
      </c>
      <c r="Q27" s="2895">
        <f>ORG!AG36</f>
        <v>39</v>
      </c>
      <c r="R27" s="2895">
        <f>ORG!AH36</f>
        <v>-105</v>
      </c>
      <c r="S27" s="2895">
        <f>ORG!O36</f>
        <v>0</v>
      </c>
      <c r="U27">
        <f t="shared" si="0"/>
        <v>0</v>
      </c>
    </row>
    <row r="28" spans="1:21">
      <c r="A28" s="2894" t="str">
        <f>ORG!$S$1</f>
        <v>Feb 24</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Feb 24</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Feb 24</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Feb 24</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Feb 24</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Feb 24</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Feb 24</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Feb 24</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Feb 24</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Feb 24</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Feb 24</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Feb 24</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Feb 24</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Feb 24</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49.999999999999886</v>
      </c>
      <c r="H41" s="2895">
        <f>ORG!X50</f>
        <v>2.0000000000001421</v>
      </c>
      <c r="I41" s="2895">
        <f>ORG!Y50</f>
        <v>11.000000000000114</v>
      </c>
      <c r="J41" s="2895">
        <f>ORG!Z50</f>
        <v>94.000000000000369</v>
      </c>
      <c r="K41" s="2895">
        <f>ORG!AA50</f>
        <v>-146.99999999999963</v>
      </c>
      <c r="L41" s="2895">
        <f>ORG!AB50</f>
        <v>113.99999999999989</v>
      </c>
      <c r="M41" s="2895">
        <f>ORG!AC50</f>
        <v>-4.0000000000000853</v>
      </c>
      <c r="N41" s="2895">
        <f>ORG!AD50</f>
        <v>-107.99999999999943</v>
      </c>
      <c r="O41" s="2895">
        <f>ORG!AE50</f>
        <v>8.0000000000001137</v>
      </c>
      <c r="P41" s="2895">
        <f>ORG!AF50</f>
        <v>45.999999999999886</v>
      </c>
      <c r="Q41" s="2895">
        <f>ORG!AG50</f>
        <v>39.000000000000114</v>
      </c>
      <c r="R41" s="2895">
        <f>ORG!AH50</f>
        <v>-105.00000000000034</v>
      </c>
      <c r="S41" s="2895">
        <f>ORG!O50</f>
        <v>1.6370904631912708E-11</v>
      </c>
      <c r="U41">
        <f t="shared" si="1"/>
        <v>1.6370904631912708E-11</v>
      </c>
    </row>
    <row r="42" spans="1:21">
      <c r="A42" s="2894" t="str">
        <f>ORG!$S$1</f>
        <v>Feb 24</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0</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0</v>
      </c>
      <c r="U42">
        <f t="shared" si="1"/>
        <v>0</v>
      </c>
    </row>
    <row r="43" spans="1:21">
      <c r="A43" s="2894" t="str">
        <f>ORG!$S$1</f>
        <v>Feb 24</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-146.99999999999963</v>
      </c>
      <c r="L43" s="2895">
        <f>ORG!AB54</f>
        <v>113.99999999999989</v>
      </c>
      <c r="M43" s="2895">
        <f>ORG!AC54</f>
        <v>-4.0000000000000853</v>
      </c>
      <c r="N43" s="2895">
        <f>ORG!AD54</f>
        <v>-107.99999999999943</v>
      </c>
      <c r="O43" s="2895">
        <f>ORG!AE54</f>
        <v>8.0000000000001137</v>
      </c>
      <c r="P43" s="2895">
        <f>ORG!AF54</f>
        <v>45.999999999999886</v>
      </c>
      <c r="Q43" s="2895">
        <f>ORG!AG54</f>
        <v>39.000000000000114</v>
      </c>
      <c r="R43" s="2895">
        <f>ORG!AH54</f>
        <v>-105.00000000000034</v>
      </c>
      <c r="S43" s="2895">
        <f>ORG!O54</f>
        <v>1.6370904631912708E-11</v>
      </c>
      <c r="U43">
        <f>S43+T43</f>
        <v>1.6370904631912708E-11</v>
      </c>
    </row>
    <row r="44" spans="1:21">
      <c r="A44" s="2894" t="str">
        <f>ORG!$S$1</f>
        <v>Feb 24</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Feb 24</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Feb 24</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Feb 24</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Feb 24</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Feb 24</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Feb 24</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Feb 24</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Feb 24</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Feb 24</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Feb 24</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Feb 24</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Feb 24</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Feb 24</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Feb 24</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Feb 24</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Feb 24</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Feb 24</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Feb 24</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Feb 24</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Feb 24</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Feb 24</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-5049.0336643093351</v>
      </c>
      <c r="U65">
        <f t="shared" si="3"/>
        <v>-5049.0336643093351</v>
      </c>
    </row>
    <row r="66" spans="1:21">
      <c r="A66" s="2894" t="str">
        <f>ORG!$S$1</f>
        <v>Feb 24</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Feb 24</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5049.0338543093358</v>
      </c>
      <c r="U67">
        <f t="shared" si="3"/>
        <v>5049.0338543093358</v>
      </c>
    </row>
    <row r="68" spans="1:21">
      <c r="A68" s="2894" t="str">
        <f>ORG!$S$1</f>
        <v>Feb 24</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Feb 24</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Feb 24</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Feb 24</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Feb 24</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Feb 24</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Feb 24</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Feb 24</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Feb 24</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Feb 24</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Feb 24</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Feb 24</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Feb 24</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Feb 24</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Feb 24</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Feb 24</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1.6370904631912708E-11</v>
      </c>
      <c r="U83">
        <f t="shared" si="4"/>
        <v>1.6370904631912708E-11</v>
      </c>
    </row>
    <row r="84" spans="1:21">
      <c r="A84" s="2894" t="str">
        <f>ORG!$S$1</f>
        <v>Feb 24</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Feb 24</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Feb 24</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Feb 24</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Feb 24</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Feb 24</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Feb 24</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Feb 24</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Feb 24</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Feb 24</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Feb 24</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Feb 24</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Feb 24</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Feb 24</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Feb 24</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Feb 24</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Feb 24</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Feb 24</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Feb 24</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Feb 24</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Feb 24</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Feb 24</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Feb 24</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Feb 24</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Feb 24</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Feb 24</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Feb 24</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Feb 24</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Feb 24</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Feb 24</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Feb 24</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Feb 24</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Feb 24</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Feb 24</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Feb 24</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Feb 24</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Feb 24</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Feb 24</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Feb 24</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Feb 24</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Feb 24</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Feb 24</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Feb 24</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Feb 24</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Feb 24</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Feb 24</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Feb 24</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Feb 24</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Feb 24</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Feb 24</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Feb 24</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Feb 24</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Feb 24</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Feb 24</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Feb 24</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Feb 24</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Feb 24</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Feb 24</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Feb 24</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Feb 24</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Feb 24</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Feb 24</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Feb 24</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Feb 24</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Feb 24</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Feb 24</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Feb 24</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Feb 24</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Feb 24</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Feb 24</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Feb 24</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Feb 24</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Feb 24</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Feb 24</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Feb 24</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Feb 24</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Feb 24</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Feb 24</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Feb 24</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Feb 24</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Feb 24</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Feb 24</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Feb 24</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Feb 24</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Feb 24</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Feb 24</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Feb 24</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Feb 24</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Feb 24</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Feb 24</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Feb 24</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Feb 24</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Feb 24</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Feb 24</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Feb 24</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Feb 24</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Feb 24</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Feb 24</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Feb 24</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Feb 24</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Feb 24</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Feb 24</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Feb 24</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Feb 24</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Feb 24</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Feb 24</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Feb 24</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Feb 24</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Feb 24</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Feb 24</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Feb 24</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Feb 24</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Feb 24</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Feb 24</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Feb 24</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Feb 24</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Feb 24</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Feb 24</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Feb 24</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Feb 24</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Feb 24</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Feb 24</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Feb 24</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Feb 24</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Feb 24</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Feb 24</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Feb 24</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Feb 24</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Feb 24</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Feb 24</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Feb 24</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Feb 24</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Feb 24</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Feb 24</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Feb 24</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Feb 24</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Feb 24</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Feb 24</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Feb 24</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Feb 24</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Feb 24</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Feb 24</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Feb 24</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Feb 24</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Feb 24</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Feb 24</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Feb 24</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Feb 24</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Feb 24</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Feb 24</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Feb 24</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Feb 24</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Feb 24</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Feb 24</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Feb 24</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Feb 24</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Feb 24</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Feb 24</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Feb 24</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Feb 24</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Feb 24</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Feb 24</v>
      </c>
      <c r="B245" t="str">
        <f>ORG!$M$1</f>
        <v>Public Health Wales Trust</v>
      </c>
      <c r="C245" t="str">
        <f>ORG!$AZ$5</f>
        <v xml:space="preserve">Table A2 - Overview Of Key Risks &amp; Opportunities </v>
      </c>
      <c r="D245">
        <f>ORG!AZ21</f>
        <v>13</v>
      </c>
      <c r="E245">
        <f>ORG!BC21</f>
        <v>0</v>
      </c>
      <c r="F245" s="2896">
        <f>ORG!BA21</f>
        <v>0</v>
      </c>
      <c r="S245" s="2895">
        <f>ORG!BB21</f>
        <v>0</v>
      </c>
      <c r="U245">
        <f t="shared" si="11"/>
        <v>0</v>
      </c>
    </row>
    <row r="246" spans="1:21">
      <c r="A246" s="2894" t="str">
        <f>ORG!$S$1</f>
        <v>Feb 24</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Feb 24</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Feb 24</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Feb 24</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Feb 24</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Feb 24</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Feb 24</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Feb 24</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Feb 24</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Feb 24</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Feb 24</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Feb 24</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Feb 24</v>
      </c>
      <c r="B258" t="str">
        <f>ORG!$M$1</f>
        <v>Public Health Wales Trust</v>
      </c>
      <c r="C258" t="str">
        <f>ORG!$AZ$5</f>
        <v xml:space="preserve">Table A2 - Overview Of Key Risks &amp; Opportunities </v>
      </c>
      <c r="D258">
        <f>ORG!AZ34</f>
        <v>26</v>
      </c>
      <c r="E258">
        <f>ORG!BC34</f>
        <v>0</v>
      </c>
      <c r="F258" t="str">
        <f>ORG!BA34</f>
        <v>Total Risks</v>
      </c>
      <c r="S258" s="2895">
        <f>ORG!BB34</f>
        <v>0</v>
      </c>
      <c r="U258">
        <f t="shared" si="11"/>
        <v>0</v>
      </c>
    </row>
    <row r="259" spans="1:21">
      <c r="A259" s="2894" t="str">
        <f>ORG!$S$1</f>
        <v>Feb 24</v>
      </c>
      <c r="B259" t="str">
        <f>ORG!$M$1</f>
        <v>Public Health Wales Trust</v>
      </c>
      <c r="C259" t="str">
        <f>ORG!$AZ$5</f>
        <v xml:space="preserve">Table A2 - Overview Of Key Risks &amp; Opportunities </v>
      </c>
      <c r="D259">
        <f>ORG!AZ36</f>
        <v>27</v>
      </c>
      <c r="E259" t="str">
        <f>ORG!BC36</f>
        <v>Medium</v>
      </c>
      <c r="F259" s="2896" t="str">
        <f>ORG!BA36</f>
        <v>Microsoft VAT recovery currently being pursued by DHCW</v>
      </c>
      <c r="S259" s="2895">
        <f>ORG!BB36</f>
        <v>521</v>
      </c>
      <c r="U259">
        <f t="shared" si="11"/>
        <v>521</v>
      </c>
    </row>
    <row r="260" spans="1:21">
      <c r="A260" s="2894" t="str">
        <f>ORG!$S$1</f>
        <v>Feb 24</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Feb 24</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Feb 24</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Feb 24</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Feb 24</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Feb 24</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Feb 24</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521</v>
      </c>
      <c r="U266">
        <f t="shared" si="12"/>
        <v>521</v>
      </c>
    </row>
    <row r="267" spans="1:21">
      <c r="A267" s="2894" t="str">
        <f>ORG!$S$1</f>
        <v>Feb 24</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1.6370904631912708E-11</v>
      </c>
      <c r="U267">
        <f t="shared" si="12"/>
        <v>1.6370904631912708E-11</v>
      </c>
    </row>
    <row r="268" spans="1:21">
      <c r="A268" s="2894" t="str">
        <f>ORG!$S$1</f>
        <v>Feb 24</v>
      </c>
      <c r="B268" t="str">
        <f>ORG!$M$1</f>
        <v>Public Health Wales Trust</v>
      </c>
      <c r="C268" t="str">
        <f>ORG!$AZ$5</f>
        <v xml:space="preserve">Table A2 - Overview Of Key Risks &amp; Opportunities </v>
      </c>
      <c r="D268">
        <f>ORG!AZ47</f>
        <v>36</v>
      </c>
      <c r="E268">
        <f>ORG!BC47</f>
        <v>0</v>
      </c>
      <c r="F268" t="str">
        <f>ORG!BA47</f>
        <v>IMTP / AOP Outturn Scenario</v>
      </c>
      <c r="S268" s="2895">
        <f>ORG!BB47</f>
        <v>1.6370904631912708E-11</v>
      </c>
      <c r="U268">
        <f t="shared" si="12"/>
        <v>1.6370904631912708E-11</v>
      </c>
    </row>
    <row r="269" spans="1:21">
      <c r="A269" s="2894" t="str">
        <f>ORG!$S$1</f>
        <v>Feb 24</v>
      </c>
      <c r="B269" t="str">
        <f>ORG!$M$1</f>
        <v>Public Health Wales Trust</v>
      </c>
      <c r="C269" t="str">
        <f>ORG!$AZ$5</f>
        <v xml:space="preserve">Table A2 - Overview Of Key Risks &amp; Opportunities </v>
      </c>
      <c r="D269">
        <f>ORG!AZ49</f>
        <v>37</v>
      </c>
      <c r="E269">
        <f>ORG!BC49</f>
        <v>0</v>
      </c>
      <c r="F269" t="str">
        <f>ORG!BA49</f>
        <v>Worst Case Outturn Scenario</v>
      </c>
      <c r="S269" s="2895">
        <f>ORG!BB49</f>
        <v>1.6370904631912708E-11</v>
      </c>
      <c r="U269">
        <f t="shared" si="12"/>
        <v>1.6370904631912708E-11</v>
      </c>
    </row>
    <row r="270" spans="1:21">
      <c r="A270" s="2894" t="str">
        <f>ORG!$S$1</f>
        <v>Feb 24</v>
      </c>
      <c r="B270" t="str">
        <f>ORG!$M$1</f>
        <v>Public Health Wales Trust</v>
      </c>
      <c r="C270" t="str">
        <f>ORG!$AZ$5</f>
        <v xml:space="preserve">Table A2 - Overview Of Key Risks &amp; Opportunities </v>
      </c>
      <c r="D270">
        <f>ORG!AZ51</f>
        <v>38</v>
      </c>
      <c r="E270">
        <f>ORG!BC51</f>
        <v>0</v>
      </c>
      <c r="F270" t="str">
        <f>ORG!BA51</f>
        <v>Best Case Outturn Scenario</v>
      </c>
      <c r="S270" s="2895">
        <f>ORG!BB51</f>
        <v>521.00000000001637</v>
      </c>
      <c r="U270">
        <f t="shared" si="12"/>
        <v>521.00000000001637</v>
      </c>
    </row>
    <row r="271" spans="1:21">
      <c r="A271" s="2894" t="str">
        <f>ORG!$S$1</f>
        <v>Feb 24</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Feb 24</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250</v>
      </c>
      <c r="R272">
        <f>'B - Monthly Positions'!O12</f>
        <v>0</v>
      </c>
      <c r="S272">
        <f>'B - Monthly Positions'!Q12</f>
        <v>250</v>
      </c>
      <c r="U272">
        <f t="shared" si="12"/>
        <v>250</v>
      </c>
    </row>
    <row r="273" spans="1:21">
      <c r="A273" s="2894" t="str">
        <f>ORG!$S$1</f>
        <v>Feb 24</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2227</v>
      </c>
      <c r="L273">
        <f>'B - Monthly Positions'!I13</f>
        <v>2035</v>
      </c>
      <c r="M273">
        <f>'B - Monthly Positions'!J13</f>
        <v>1918</v>
      </c>
      <c r="N273">
        <f>'B - Monthly Positions'!K13</f>
        <v>2623</v>
      </c>
      <c r="O273">
        <f>'B - Monthly Positions'!L13</f>
        <v>2118</v>
      </c>
      <c r="P273">
        <f>'B - Monthly Positions'!M13</f>
        <v>2071</v>
      </c>
      <c r="Q273">
        <f>'B - Monthly Positions'!N13</f>
        <v>2292</v>
      </c>
      <c r="R273">
        <f>'B - Monthly Positions'!O13</f>
        <v>2041</v>
      </c>
      <c r="S273">
        <f>'B - Monthly Positions'!Q13</f>
        <v>25632</v>
      </c>
      <c r="U273">
        <f t="shared" si="12"/>
        <v>25632</v>
      </c>
    </row>
    <row r="274" spans="1:21">
      <c r="A274" s="2894" t="str">
        <f>ORG!$S$1</f>
        <v>Feb 24</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19</v>
      </c>
      <c r="L274">
        <f>'B - Monthly Positions'!I14</f>
        <v>19</v>
      </c>
      <c r="M274">
        <f>'B - Monthly Positions'!J14</f>
        <v>19</v>
      </c>
      <c r="N274">
        <f>'B - Monthly Positions'!K14</f>
        <v>11</v>
      </c>
      <c r="O274">
        <f>'B - Monthly Positions'!L14</f>
        <v>27</v>
      </c>
      <c r="P274">
        <f>'B - Monthly Positions'!M14</f>
        <v>19</v>
      </c>
      <c r="Q274">
        <f>'B - Monthly Positions'!N14</f>
        <v>20</v>
      </c>
      <c r="R274">
        <f>'B - Monthly Positions'!O14</f>
        <v>19</v>
      </c>
      <c r="S274">
        <f>'B - Monthly Positions'!Q14</f>
        <v>230</v>
      </c>
      <c r="U274">
        <f t="shared" si="12"/>
        <v>230</v>
      </c>
    </row>
    <row r="275" spans="1:21">
      <c r="A275" s="2894" t="str">
        <f>ORG!$S$1</f>
        <v>Feb 24</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17098</v>
      </c>
      <c r="L275">
        <f>'B - Monthly Positions'!I15</f>
        <v>17332</v>
      </c>
      <c r="M275">
        <f>'B - Monthly Positions'!J15</f>
        <v>18104</v>
      </c>
      <c r="N275">
        <f>'B - Monthly Positions'!K15</f>
        <v>16567</v>
      </c>
      <c r="O275">
        <f>'B - Monthly Positions'!L15</f>
        <v>12701</v>
      </c>
      <c r="P275">
        <f>'B - Monthly Positions'!M15</f>
        <v>18269</v>
      </c>
      <c r="Q275">
        <f>'B - Monthly Positions'!N15</f>
        <v>10111</v>
      </c>
      <c r="R275">
        <f>'B - Monthly Positions'!O15</f>
        <v>23235.661746666665</v>
      </c>
      <c r="S275">
        <f>'B - Monthly Positions'!Q15</f>
        <v>199266.66174666665</v>
      </c>
      <c r="U275">
        <f t="shared" si="12"/>
        <v>199266.66174666665</v>
      </c>
    </row>
    <row r="276" spans="1:21">
      <c r="A276" s="2894" t="str">
        <f>ORG!$S$1</f>
        <v>Feb 24</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561</v>
      </c>
      <c r="L276">
        <f>'B - Monthly Positions'!I16</f>
        <v>427</v>
      </c>
      <c r="M276">
        <f>'B - Monthly Positions'!J16</f>
        <v>613</v>
      </c>
      <c r="N276">
        <f>'B - Monthly Positions'!K16</f>
        <v>1007</v>
      </c>
      <c r="O276">
        <f>'B - Monthly Positions'!L16</f>
        <v>645</v>
      </c>
      <c r="P276">
        <f>'B - Monthly Positions'!M16</f>
        <v>560</v>
      </c>
      <c r="Q276">
        <f>'B - Monthly Positions'!N16</f>
        <v>528</v>
      </c>
      <c r="R276">
        <f>'B - Monthly Positions'!O16</f>
        <v>513</v>
      </c>
      <c r="S276">
        <f>'B - Monthly Positions'!Q16</f>
        <v>7156</v>
      </c>
      <c r="U276">
        <f t="shared" si="12"/>
        <v>7156</v>
      </c>
    </row>
    <row r="277" spans="1:21">
      <c r="A277" s="2894" t="str">
        <f>ORG!$S$1</f>
        <v>Feb 24</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19905</v>
      </c>
      <c r="L277">
        <f>'B - Monthly Positions'!I17</f>
        <v>19813</v>
      </c>
      <c r="M277">
        <f>'B - Monthly Positions'!J17</f>
        <v>20654</v>
      </c>
      <c r="N277">
        <f>'B - Monthly Positions'!K17</f>
        <v>20208</v>
      </c>
      <c r="O277">
        <f>'B - Monthly Positions'!L17</f>
        <v>15491</v>
      </c>
      <c r="P277">
        <f>'B - Monthly Positions'!M17</f>
        <v>20919</v>
      </c>
      <c r="Q277">
        <f>'B - Monthly Positions'!N17</f>
        <v>13201</v>
      </c>
      <c r="R277">
        <f>'B - Monthly Positions'!O17</f>
        <v>25808.661746666665</v>
      </c>
      <c r="S277">
        <f>'B - Monthly Positions'!Q17</f>
        <v>232534.66174666665</v>
      </c>
      <c r="U277">
        <f t="shared" si="12"/>
        <v>232534.66174666665</v>
      </c>
    </row>
    <row r="278" spans="1:21">
      <c r="A278" s="2894" t="str">
        <f>ORG!$S$1</f>
        <v>Feb 24</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Feb 24</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Feb 24</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11570</v>
      </c>
      <c r="L280">
        <f>'B - Monthly Positions'!I20</f>
        <v>11261</v>
      </c>
      <c r="M280">
        <f>'B - Monthly Positions'!J20</f>
        <v>11643</v>
      </c>
      <c r="N280">
        <f>'B - Monthly Positions'!K20</f>
        <v>11349</v>
      </c>
      <c r="O280">
        <f>'B - Monthly Positions'!L20</f>
        <v>11571</v>
      </c>
      <c r="P280">
        <f>'B - Monthly Positions'!M20</f>
        <v>11552</v>
      </c>
      <c r="Q280">
        <f>'B - Monthly Positions'!N20</f>
        <v>8116</v>
      </c>
      <c r="R280">
        <f>'B - Monthly Positions'!O20</f>
        <v>12501.937416666666</v>
      </c>
      <c r="S280">
        <f>'B - Monthly Positions'!Q20</f>
        <v>136310.93741666665</v>
      </c>
      <c r="U280">
        <f t="shared" si="12"/>
        <v>136310.93741666665</v>
      </c>
    </row>
    <row r="281" spans="1:21">
      <c r="A281" s="2894" t="str">
        <f>ORG!$S$1</f>
        <v>Feb 24</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7802.4100000000008</v>
      </c>
      <c r="L281">
        <f>'B - Monthly Positions'!I21</f>
        <v>7866.1100000000006</v>
      </c>
      <c r="M281">
        <f>'B - Monthly Positions'!J21</f>
        <v>8443.11</v>
      </c>
      <c r="N281">
        <f>'B - Monthly Positions'!K21</f>
        <v>8427.7000000000007</v>
      </c>
      <c r="O281">
        <f>'B - Monthly Positions'!L21</f>
        <v>3354.9600000000028</v>
      </c>
      <c r="P281">
        <f>'B - Monthly Positions'!M21</f>
        <v>8764.7099999999955</v>
      </c>
      <c r="Q281">
        <f>'B - Monthly Positions'!N21</f>
        <v>4423.3800000000047</v>
      </c>
      <c r="R281">
        <f>'B - Monthly Positions'!O21</f>
        <v>12499.304329999999</v>
      </c>
      <c r="S281">
        <f>'B - Monthly Positions'!Q21</f>
        <v>89032.213329999999</v>
      </c>
      <c r="U281">
        <f t="shared" si="12"/>
        <v>89032.213329999999</v>
      </c>
    </row>
    <row r="282" spans="1:21">
      <c r="A282" s="2894" t="str">
        <f>ORG!$S$1</f>
        <v>Feb 24</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Feb 24</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Feb 24</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Feb 24</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Feb 24</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Feb 24</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Feb 24</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Feb 24</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Feb 24</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Feb 24</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Feb 24</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645.16999999999996</v>
      </c>
      <c r="L292">
        <f>'B - Monthly Positions'!I32</f>
        <v>543.77</v>
      </c>
      <c r="M292">
        <f>'B - Monthly Positions'!J32</f>
        <v>543.77</v>
      </c>
      <c r="N292">
        <f>'B - Monthly Positions'!K32</f>
        <v>502.17</v>
      </c>
      <c r="O292">
        <f>'B - Monthly Positions'!L32</f>
        <v>528.91999999999996</v>
      </c>
      <c r="P292">
        <f>'B - Monthly Positions'!M32</f>
        <v>528.16999999999996</v>
      </c>
      <c r="Q292">
        <f>'B - Monthly Positions'!N32</f>
        <v>594.5</v>
      </c>
      <c r="R292">
        <f>'B - Monthly Positions'!O32</f>
        <v>884</v>
      </c>
      <c r="S292">
        <f>'B - Monthly Positions'!Q32</f>
        <v>6844.6310000000003</v>
      </c>
      <c r="U292">
        <f t="shared" si="12"/>
        <v>6844.6310000000003</v>
      </c>
    </row>
    <row r="293" spans="1:21">
      <c r="A293" s="2894" t="str">
        <f>ORG!$S$1</f>
        <v>Feb 24</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34.42</v>
      </c>
      <c r="L293">
        <f>'B - Monthly Positions'!I33</f>
        <v>28.12</v>
      </c>
      <c r="M293">
        <f>'B - Monthly Positions'!J33</f>
        <v>28.12</v>
      </c>
      <c r="N293">
        <f>'B - Monthly Positions'!K33</f>
        <v>28.12</v>
      </c>
      <c r="O293">
        <f>'B - Monthly Positions'!L33</f>
        <v>28.12</v>
      </c>
      <c r="P293">
        <f>'B - Monthly Positions'!M33</f>
        <v>28.12</v>
      </c>
      <c r="Q293">
        <f>'B - Monthly Positions'!N33</f>
        <v>28.12</v>
      </c>
      <c r="R293">
        <f>'B - Monthly Positions'!O33</f>
        <v>28.42</v>
      </c>
      <c r="S293">
        <f>'B - Monthly Positions'!Q33</f>
        <v>337.87000000000006</v>
      </c>
      <c r="U293">
        <f t="shared" si="12"/>
        <v>337.87000000000006</v>
      </c>
    </row>
    <row r="294" spans="1:21">
      <c r="A294" s="2894" t="str">
        <f>ORG!$S$1</f>
        <v>Feb 24</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Feb 24</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9.01</v>
      </c>
      <c r="O295">
        <f>'B - Monthly Positions'!L35</f>
        <v>0</v>
      </c>
      <c r="P295">
        <f>'B - Monthly Positions'!M35</f>
        <v>0</v>
      </c>
      <c r="Q295">
        <f>'B - Monthly Positions'!N35</f>
        <v>0</v>
      </c>
      <c r="R295">
        <f>'B - Monthly Positions'!O35</f>
        <v>0</v>
      </c>
      <c r="S295">
        <f>'B - Monthly Positions'!Q35</f>
        <v>9.01</v>
      </c>
      <c r="U295">
        <f t="shared" si="12"/>
        <v>9.01</v>
      </c>
    </row>
    <row r="296" spans="1:21">
      <c r="A296" s="2894" t="str">
        <f>ORG!$S$1</f>
        <v>Feb 24</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20051.999999999996</v>
      </c>
      <c r="L296">
        <f>'B - Monthly Positions'!I36</f>
        <v>19699</v>
      </c>
      <c r="M296">
        <f>'B - Monthly Positions'!J36</f>
        <v>20658</v>
      </c>
      <c r="N296">
        <f>'B - Monthly Positions'!K36</f>
        <v>20315.999999999996</v>
      </c>
      <c r="O296">
        <f>'B - Monthly Positions'!L36</f>
        <v>15483.000000000004</v>
      </c>
      <c r="P296">
        <f>'B - Monthly Positions'!M36</f>
        <v>20872.999999999993</v>
      </c>
      <c r="Q296">
        <f>'B - Monthly Positions'!N36</f>
        <v>13162.000000000005</v>
      </c>
      <c r="R296">
        <f>'B - Monthly Positions'!O36</f>
        <v>25913.661746666665</v>
      </c>
      <c r="S296">
        <f>'B - Monthly Positions'!Q36</f>
        <v>232534.66174666665</v>
      </c>
      <c r="U296">
        <f t="shared" si="12"/>
        <v>232534.66174666665</v>
      </c>
    </row>
    <row r="297" spans="1:21">
      <c r="A297" s="2894" t="str">
        <f>ORG!$S$1</f>
        <v>Feb 24</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-146.99999999999636</v>
      </c>
      <c r="L297">
        <f>'B - Monthly Positions'!I37</f>
        <v>114</v>
      </c>
      <c r="M297">
        <f>'B - Monthly Positions'!J37</f>
        <v>-4</v>
      </c>
      <c r="N297">
        <f>'B - Monthly Positions'!K37</f>
        <v>-107.99999999999636</v>
      </c>
      <c r="O297">
        <f>'B - Monthly Positions'!L37</f>
        <v>7.999999999996362</v>
      </c>
      <c r="P297">
        <f>'B - Monthly Positions'!M37</f>
        <v>46.000000000007276</v>
      </c>
      <c r="Q297">
        <f>'B - Monthly Positions'!N37</f>
        <v>38.999999999994543</v>
      </c>
      <c r="R297">
        <f>'B - Monthly Positions'!O37</f>
        <v>-105</v>
      </c>
      <c r="S297">
        <f>'B - Monthly Positions'!Q37</f>
        <v>0</v>
      </c>
      <c r="U297">
        <f t="shared" si="12"/>
        <v>0</v>
      </c>
    </row>
    <row r="298" spans="1:21">
      <c r="A298" s="2894" t="str">
        <f>ORG!$S$1</f>
        <v>Feb 24</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Feb 24</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Feb 24</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Feb 24</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Feb 24</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Feb 24</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Feb 24</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Feb 24</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Feb 24</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207972.16074666666</v>
      </c>
      <c r="U306">
        <f t="shared" si="12"/>
        <v>207972.16074666666</v>
      </c>
    </row>
    <row r="307" spans="1:21">
      <c r="A307" s="2894" t="str">
        <f>ORG!$S$1</f>
        <v>Feb 24</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2776</v>
      </c>
      <c r="U307">
        <f t="shared" si="12"/>
        <v>2776</v>
      </c>
    </row>
    <row r="308" spans="1:21">
      <c r="A308" s="2894" t="str">
        <f>ORG!$S$1</f>
        <v>Feb 24</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14604</v>
      </c>
      <c r="U308">
        <f t="shared" si="12"/>
        <v>14604</v>
      </c>
    </row>
    <row r="309" spans="1:21">
      <c r="A309" s="2894" t="str">
        <f>ORG!$S$1</f>
        <v>Feb 24</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Feb 24</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225352.16074666666</v>
      </c>
      <c r="U310">
        <f t="shared" si="12"/>
        <v>225352.16074666666</v>
      </c>
    </row>
    <row r="311" spans="1:21">
      <c r="A311" s="2894" t="str">
        <f>ORG!$S$1</f>
        <v>Feb 24</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1364</v>
      </c>
      <c r="L311">
        <f>'B - Monthly Positions'!I72</f>
        <v>407.3</v>
      </c>
      <c r="M311">
        <f>'B - Monthly Positions'!J72</f>
        <v>407.3</v>
      </c>
      <c r="N311">
        <f>'B - Monthly Positions'!K72</f>
        <v>399</v>
      </c>
      <c r="O311">
        <f>'B - Monthly Positions'!L72</f>
        <v>400</v>
      </c>
      <c r="P311">
        <f>'B - Monthly Positions'!M72</f>
        <v>399</v>
      </c>
      <c r="Q311">
        <f>'B - Monthly Positions'!N72</f>
        <v>400.5</v>
      </c>
      <c r="R311">
        <f>'B - Monthly Positions'!O72</f>
        <v>419</v>
      </c>
      <c r="S311">
        <f>'B - Monthly Positions'!Q72</f>
        <v>4868.5910000000003</v>
      </c>
      <c r="U311">
        <f t="shared" si="12"/>
        <v>4868.5910000000003</v>
      </c>
    </row>
    <row r="312" spans="1:21">
      <c r="A312" s="2894" t="str">
        <f>ORG!$S$1</f>
        <v>Feb 24</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-843</v>
      </c>
      <c r="L312">
        <f>'B - Monthly Positions'!I73</f>
        <v>12.3</v>
      </c>
      <c r="M312">
        <f>'B - Monthly Positions'!J73</f>
        <v>12.3</v>
      </c>
      <c r="N312">
        <f>'B - Monthly Positions'!K73</f>
        <v>-21</v>
      </c>
      <c r="O312">
        <f>'B - Monthly Positions'!L73</f>
        <v>4.75</v>
      </c>
      <c r="P312">
        <f>'B - Monthly Positions'!M73</f>
        <v>5</v>
      </c>
      <c r="Q312">
        <f>'B - Monthly Positions'!N73</f>
        <v>5</v>
      </c>
      <c r="R312">
        <f>'B - Monthly Positions'!O73</f>
        <v>-1</v>
      </c>
      <c r="S312">
        <f>'B - Monthly Positions'!Q73</f>
        <v>79.349999999999994</v>
      </c>
      <c r="U312">
        <f t="shared" si="12"/>
        <v>79.349999999999994</v>
      </c>
    </row>
    <row r="313" spans="1:21">
      <c r="A313" s="2894" t="str">
        <f>ORG!$S$1</f>
        <v>Feb 24</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Feb 24</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Feb 24</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189</v>
      </c>
      <c r="R315">
        <f>'B - Monthly Positions'!O76</f>
        <v>466</v>
      </c>
      <c r="S315">
        <f>'B - Monthly Positions'!Q76</f>
        <v>1896.69</v>
      </c>
      <c r="U315">
        <f t="shared" si="12"/>
        <v>1896.69</v>
      </c>
    </row>
    <row r="316" spans="1:21">
      <c r="A316" s="2894" t="str">
        <f>ORG!$S$1</f>
        <v>Feb 24</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645.16999999999996</v>
      </c>
      <c r="L316">
        <f>'B - Monthly Positions'!I77</f>
        <v>543.77</v>
      </c>
      <c r="M316">
        <f>'B - Monthly Positions'!J77</f>
        <v>543.77</v>
      </c>
      <c r="N316">
        <f>'B - Monthly Positions'!K77</f>
        <v>502.17</v>
      </c>
      <c r="O316">
        <f>'B - Monthly Positions'!L77</f>
        <v>528.91999999999996</v>
      </c>
      <c r="P316">
        <f>'B - Monthly Positions'!M77</f>
        <v>528.16999999999996</v>
      </c>
      <c r="Q316">
        <f>'B - Monthly Positions'!N77</f>
        <v>594.5</v>
      </c>
      <c r="R316">
        <f>'B - Monthly Positions'!O77</f>
        <v>884</v>
      </c>
      <c r="S316">
        <f>'B - Monthly Positions'!Q77</f>
        <v>6844.6310000000003</v>
      </c>
      <c r="U316">
        <f t="shared" si="12"/>
        <v>6844.6310000000003</v>
      </c>
    </row>
    <row r="317" spans="1:21">
      <c r="A317" s="2894" t="str">
        <f>ORG!$S$1</f>
        <v>Feb 24</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18</v>
      </c>
      <c r="L317">
        <f>'B - Monthly Positions'!I79</f>
        <v>11.7</v>
      </c>
      <c r="M317">
        <f>'B - Monthly Positions'!J79</f>
        <v>11.7</v>
      </c>
      <c r="N317">
        <f>'B - Monthly Positions'!K79</f>
        <v>11.7</v>
      </c>
      <c r="O317">
        <f>'B - Monthly Positions'!L79</f>
        <v>11.7</v>
      </c>
      <c r="P317">
        <f>'B - Monthly Positions'!M79</f>
        <v>11.7</v>
      </c>
      <c r="Q317">
        <f>'B - Monthly Positions'!N79</f>
        <v>11.7</v>
      </c>
      <c r="R317">
        <f>'B - Monthly Positions'!O79</f>
        <v>12</v>
      </c>
      <c r="S317">
        <f>'B - Monthly Positions'!Q79</f>
        <v>140.84</v>
      </c>
      <c r="U317">
        <f t="shared" si="12"/>
        <v>140.84</v>
      </c>
    </row>
    <row r="318" spans="1:21">
      <c r="A318" s="2894" t="str">
        <f>ORG!$S$1</f>
        <v>Feb 24</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Feb 24</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197.03000000000009</v>
      </c>
      <c r="U319">
        <f t="shared" si="12"/>
        <v>197.03000000000009</v>
      </c>
    </row>
    <row r="320" spans="1:21">
      <c r="A320" s="2894" t="str">
        <f>ORG!$S$1</f>
        <v>Feb 24</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34.42</v>
      </c>
      <c r="L320">
        <f>'B - Monthly Positions'!I82</f>
        <v>28.12</v>
      </c>
      <c r="M320">
        <f>'B - Monthly Positions'!J82</f>
        <v>28.12</v>
      </c>
      <c r="N320">
        <f>'B - Monthly Positions'!K82</f>
        <v>28.12</v>
      </c>
      <c r="O320">
        <f>'B - Monthly Positions'!L82</f>
        <v>28.12</v>
      </c>
      <c r="P320">
        <f>'B - Monthly Positions'!M82</f>
        <v>28.12</v>
      </c>
      <c r="Q320">
        <f>'B - Monthly Positions'!N82</f>
        <v>28.12</v>
      </c>
      <c r="R320">
        <f>'B - Monthly Positions'!O82</f>
        <v>28.42</v>
      </c>
      <c r="S320">
        <f>'B - Monthly Positions'!Q82</f>
        <v>337.87000000000006</v>
      </c>
      <c r="U320">
        <f t="shared" si="12"/>
        <v>337.87000000000006</v>
      </c>
    </row>
    <row r="321" spans="1:21">
      <c r="A321" s="2894" t="str">
        <f>ORG!$S$1</f>
        <v>Feb 24</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Feb 24</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Feb 24</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Feb 24</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Feb 24</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Feb 24</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Feb 24</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Feb 24</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Feb 24</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Feb 24</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Feb 24</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Feb 24</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Feb 24</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Feb 24</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Feb 24</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Feb 24</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Feb 24</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Feb 24</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Feb 24</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Feb 24</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Feb 24</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Feb 24</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Feb 24</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Feb 24</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Feb 24</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Feb 24</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Feb 24</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Feb 24</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Feb 24</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Feb 24</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Feb 24</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Feb 24</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6755</v>
      </c>
      <c r="L352">
        <f>'B2 - Pay &amp; Agency'!H10</f>
        <v>6544</v>
      </c>
      <c r="M352">
        <f>'B2 - Pay &amp; Agency'!I10</f>
        <v>6503</v>
      </c>
      <c r="N352">
        <f>'B2 - Pay &amp; Agency'!J10</f>
        <v>6542</v>
      </c>
      <c r="O352">
        <f>'B2 - Pay &amp; Agency'!K10</f>
        <v>6835</v>
      </c>
      <c r="P352">
        <f>'B2 - Pay &amp; Agency'!L10</f>
        <v>6701</v>
      </c>
      <c r="Q352">
        <f>'B2 - Pay &amp; Agency'!M10</f>
        <v>2939</v>
      </c>
      <c r="R352">
        <f>'B2 - Pay &amp; Agency'!N10</f>
        <v>7207.5309833333331</v>
      </c>
      <c r="S352">
        <f>'B2 - Pay &amp; Agency'!P10</f>
        <v>76579.53098333333</v>
      </c>
      <c r="U352">
        <f t="shared" ref="U352:U382" si="14">S352+T352</f>
        <v>76579.53098333333</v>
      </c>
    </row>
    <row r="353" spans="1:21">
      <c r="A353" s="2894" t="str">
        <f>ORG!$S$1</f>
        <v>Feb 24</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1318</v>
      </c>
      <c r="L353">
        <f>'B2 - Pay &amp; Agency'!H11</f>
        <v>1309</v>
      </c>
      <c r="M353">
        <f>'B2 - Pay &amp; Agency'!I11</f>
        <v>1676</v>
      </c>
      <c r="N353">
        <f>'B2 - Pay &amp; Agency'!J11</f>
        <v>1310</v>
      </c>
      <c r="O353">
        <f>'B2 - Pay &amp; Agency'!K11</f>
        <v>1234</v>
      </c>
      <c r="P353">
        <f>'B2 - Pay &amp; Agency'!L11</f>
        <v>1338</v>
      </c>
      <c r="Q353">
        <f>'B2 - Pay &amp; Agency'!M11</f>
        <v>1586</v>
      </c>
      <c r="R353">
        <f>'B2 - Pay &amp; Agency'!N11</f>
        <v>1545</v>
      </c>
      <c r="S353">
        <f>'B2 - Pay &amp; Agency'!P11</f>
        <v>16455</v>
      </c>
      <c r="U353">
        <f t="shared" si="14"/>
        <v>16455</v>
      </c>
    </row>
    <row r="354" spans="1:21">
      <c r="A354" s="2894" t="str">
        <f>ORG!$S$1</f>
        <v>Feb 24</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513</v>
      </c>
      <c r="L354">
        <f>'B2 - Pay &amp; Agency'!H12</f>
        <v>499</v>
      </c>
      <c r="M354">
        <f>'B2 - Pay &amp; Agency'!I12</f>
        <v>523</v>
      </c>
      <c r="N354">
        <f>'B2 - Pay &amp; Agency'!J12</f>
        <v>544</v>
      </c>
      <c r="O354">
        <f>'B2 - Pay &amp; Agency'!K12</f>
        <v>545</v>
      </c>
      <c r="P354">
        <f>'B2 - Pay &amp; Agency'!L12</f>
        <v>551</v>
      </c>
      <c r="Q354">
        <f>'B2 - Pay &amp; Agency'!M12</f>
        <v>556</v>
      </c>
      <c r="R354">
        <f>'B2 - Pay &amp; Agency'!N12</f>
        <v>520.35308666666663</v>
      </c>
      <c r="S354">
        <f>'B2 - Pay &amp; Agency'!P12</f>
        <v>6381.353086666667</v>
      </c>
      <c r="U354">
        <f t="shared" si="14"/>
        <v>6381.353086666667</v>
      </c>
    </row>
    <row r="355" spans="1:21">
      <c r="A355" s="2894" t="str">
        <f>ORG!$S$1</f>
        <v>Feb 24</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Feb 24</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324</v>
      </c>
      <c r="L356">
        <f>'B2 - Pay &amp; Agency'!H14</f>
        <v>304</v>
      </c>
      <c r="M356">
        <f>'B2 - Pay &amp; Agency'!I14</f>
        <v>306</v>
      </c>
      <c r="N356">
        <f>'B2 - Pay &amp; Agency'!J14</f>
        <v>294</v>
      </c>
      <c r="O356">
        <f>'B2 - Pay &amp; Agency'!K14</f>
        <v>286</v>
      </c>
      <c r="P356">
        <f>'B2 - Pay &amp; Agency'!L14</f>
        <v>294</v>
      </c>
      <c r="Q356">
        <f>'B2 - Pay &amp; Agency'!M14</f>
        <v>308</v>
      </c>
      <c r="R356">
        <f>'B2 - Pay &amp; Agency'!N14</f>
        <v>311.88733000000002</v>
      </c>
      <c r="S356">
        <f>'B2 - Pay &amp; Agency'!P14</f>
        <v>3811.88733</v>
      </c>
      <c r="U356">
        <f t="shared" si="14"/>
        <v>3811.88733</v>
      </c>
    </row>
    <row r="357" spans="1:21">
      <c r="A357" s="2894" t="str">
        <f>ORG!$S$1</f>
        <v>Feb 24</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998</v>
      </c>
      <c r="L357">
        <f>'B2 - Pay &amp; Agency'!H15</f>
        <v>984</v>
      </c>
      <c r="M357">
        <f>'B2 - Pay &amp; Agency'!I15</f>
        <v>985</v>
      </c>
      <c r="N357">
        <f>'B2 - Pay &amp; Agency'!J15</f>
        <v>1006</v>
      </c>
      <c r="O357">
        <f>'B2 - Pay &amp; Agency'!K15</f>
        <v>996</v>
      </c>
      <c r="P357">
        <f>'B2 - Pay &amp; Agency'!L15</f>
        <v>998</v>
      </c>
      <c r="Q357">
        <f>'B2 - Pay &amp; Agency'!M15</f>
        <v>1001</v>
      </c>
      <c r="R357">
        <f>'B2 - Pay &amp; Agency'!N15</f>
        <v>1183</v>
      </c>
      <c r="S357">
        <f>'B2 - Pay &amp; Agency'!P15</f>
        <v>12582</v>
      </c>
      <c r="U357">
        <f t="shared" si="14"/>
        <v>12582</v>
      </c>
    </row>
    <row r="358" spans="1:21">
      <c r="A358" s="2894" t="str">
        <f>ORG!$S$1</f>
        <v>Feb 24</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1661</v>
      </c>
      <c r="L358">
        <f>'B2 - Pay &amp; Agency'!H16</f>
        <v>1619</v>
      </c>
      <c r="M358">
        <f>'B2 - Pay &amp; Agency'!I16</f>
        <v>1649</v>
      </c>
      <c r="N358">
        <f>'B2 - Pay &amp; Agency'!J16</f>
        <v>1652</v>
      </c>
      <c r="O358">
        <f>'B2 - Pay &amp; Agency'!K16</f>
        <v>1673</v>
      </c>
      <c r="P358">
        <f>'B2 - Pay &amp; Agency'!L16</f>
        <v>1669</v>
      </c>
      <c r="Q358">
        <f>'B2 - Pay &amp; Agency'!M16</f>
        <v>1732</v>
      </c>
      <c r="R358">
        <f>'B2 - Pay &amp; Agency'!N16</f>
        <v>1732.1660166666666</v>
      </c>
      <c r="S358">
        <f>'B2 - Pay &amp; Agency'!P16</f>
        <v>20484.166016666666</v>
      </c>
      <c r="U358">
        <f t="shared" si="14"/>
        <v>20484.166016666666</v>
      </c>
    </row>
    <row r="359" spans="1:21">
      <c r="A359" s="2894" t="str">
        <f>ORG!$S$1</f>
        <v>Feb 24</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2</v>
      </c>
      <c r="M359">
        <f>'B2 - Pay &amp; Agency'!I17</f>
        <v>1</v>
      </c>
      <c r="N359">
        <f>'B2 - Pay &amp; Agency'!J17</f>
        <v>1</v>
      </c>
      <c r="O359">
        <f>'B2 - Pay &amp; Agency'!K17</f>
        <v>2</v>
      </c>
      <c r="P359">
        <f>'B2 - Pay &amp; Agency'!L17</f>
        <v>1</v>
      </c>
      <c r="Q359">
        <f>'B2 - Pay &amp; Agency'!M17</f>
        <v>-6</v>
      </c>
      <c r="R359">
        <f>'B2 - Pay &amp; Agency'!N17</f>
        <v>2</v>
      </c>
      <c r="S359">
        <f>'B2 - Pay &amp; Agency'!P17</f>
        <v>17</v>
      </c>
      <c r="U359">
        <f t="shared" si="14"/>
        <v>17</v>
      </c>
    </row>
    <row r="360" spans="1:21">
      <c r="A360" s="2894" t="str">
        <f>ORG!$S$1</f>
        <v>Feb 24</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Feb 24</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11570</v>
      </c>
      <c r="L361">
        <f>'B2 - Pay &amp; Agency'!H19</f>
        <v>11261</v>
      </c>
      <c r="M361">
        <f>'B2 - Pay &amp; Agency'!I19</f>
        <v>11643</v>
      </c>
      <c r="N361">
        <f>'B2 - Pay &amp; Agency'!J19</f>
        <v>11349</v>
      </c>
      <c r="O361">
        <f>'B2 - Pay &amp; Agency'!K19</f>
        <v>11571</v>
      </c>
      <c r="P361">
        <f>'B2 - Pay &amp; Agency'!L19</f>
        <v>11552</v>
      </c>
      <c r="Q361">
        <f>'B2 - Pay &amp; Agency'!M19</f>
        <v>8116</v>
      </c>
      <c r="R361">
        <f>'B2 - Pay &amp; Agency'!N19</f>
        <v>12501.937416666666</v>
      </c>
      <c r="S361">
        <f>'B2 - Pay &amp; Agency'!P19</f>
        <v>136310.93741666665</v>
      </c>
      <c r="U361">
        <f t="shared" si="14"/>
        <v>136310.93741666665</v>
      </c>
    </row>
    <row r="362" spans="1:21">
      <c r="A362" s="2894" t="str">
        <f>ORG!$S$1</f>
        <v>Feb 24</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11570</v>
      </c>
      <c r="L362">
        <f>'B2 - Pay &amp; Agency'!H24</f>
        <v>11261</v>
      </c>
      <c r="M362">
        <f>'B2 - Pay &amp; Agency'!I24</f>
        <v>11643</v>
      </c>
      <c r="N362">
        <f>'B2 - Pay &amp; Agency'!J24</f>
        <v>11349</v>
      </c>
      <c r="O362">
        <f>'B2 - Pay &amp; Agency'!K24</f>
        <v>11571</v>
      </c>
      <c r="P362">
        <f>'B2 - Pay &amp; Agency'!L24</f>
        <v>11552</v>
      </c>
      <c r="Q362">
        <f>'B2 - Pay &amp; Agency'!M24</f>
        <v>8116</v>
      </c>
      <c r="R362">
        <f>'B2 - Pay &amp; Agency'!N24</f>
        <v>12501.937416666666</v>
      </c>
      <c r="S362">
        <f>'B2 - Pay &amp; Agency'!P24</f>
        <v>136310.93741666665</v>
      </c>
      <c r="U362">
        <f t="shared" si="14"/>
        <v>136310.93741666665</v>
      </c>
    </row>
    <row r="363" spans="1:21">
      <c r="A363" s="2894" t="str">
        <f>ORG!$S$1</f>
        <v>Feb 24</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Feb 24</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11570</v>
      </c>
      <c r="L364">
        <f>'B2 - Pay &amp; Agency'!H26</f>
        <v>11261</v>
      </c>
      <c r="M364">
        <f>'B2 - Pay &amp; Agency'!I26</f>
        <v>11643</v>
      </c>
      <c r="N364">
        <f>'B2 - Pay &amp; Agency'!J26</f>
        <v>11349</v>
      </c>
      <c r="O364">
        <f>'B2 - Pay &amp; Agency'!K26</f>
        <v>11571</v>
      </c>
      <c r="P364">
        <f>'B2 - Pay &amp; Agency'!L26</f>
        <v>11552</v>
      </c>
      <c r="Q364">
        <f>'B2 - Pay &amp; Agency'!M26</f>
        <v>8116</v>
      </c>
      <c r="R364">
        <f>'B2 - Pay &amp; Agency'!N26</f>
        <v>12501.937416666666</v>
      </c>
      <c r="S364">
        <f>'B2 - Pay &amp; Agency'!P26</f>
        <v>136310.93741666665</v>
      </c>
      <c r="U364">
        <f t="shared" si="14"/>
        <v>136310.93741666665</v>
      </c>
    </row>
    <row r="365" spans="1:21">
      <c r="A365" s="2894" t="str">
        <f>ORG!$S$1</f>
        <v>Feb 24</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197</v>
      </c>
      <c r="L365">
        <f>'B2 - Pay &amp; Agency'!H33</f>
        <v>148</v>
      </c>
      <c r="M365">
        <f>'B2 - Pay &amp; Agency'!I33</f>
        <v>44</v>
      </c>
      <c r="N365">
        <f>'B2 - Pay &amp; Agency'!J33</f>
        <v>120</v>
      </c>
      <c r="O365">
        <f>'B2 - Pay &amp; Agency'!K33</f>
        <v>81</v>
      </c>
      <c r="P365">
        <f>'B2 - Pay &amp; Agency'!L33</f>
        <v>164</v>
      </c>
      <c r="Q365">
        <f>'B2 - Pay &amp; Agency'!M33</f>
        <v>231</v>
      </c>
      <c r="R365">
        <f>'B2 - Pay &amp; Agency'!N33</f>
        <v>145</v>
      </c>
      <c r="S365">
        <f>'B2 - Pay &amp; Agency'!P33</f>
        <v>1740</v>
      </c>
      <c r="U365">
        <f t="shared" si="14"/>
        <v>1740</v>
      </c>
    </row>
    <row r="366" spans="1:21">
      <c r="A366" s="2894" t="str">
        <f>ORG!$S$1</f>
        <v>Feb 24</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-10</v>
      </c>
      <c r="M366">
        <f>'B2 - Pay &amp; Agency'!I34</f>
        <v>1</v>
      </c>
      <c r="N366">
        <f>'B2 - Pay &amp; Agency'!J34</f>
        <v>4</v>
      </c>
      <c r="O366">
        <f>'B2 - Pay &amp; Agency'!K34</f>
        <v>2</v>
      </c>
      <c r="P366">
        <f>'B2 - Pay &amp; Agency'!L34</f>
        <v>4</v>
      </c>
      <c r="Q366">
        <f>'B2 - Pay &amp; Agency'!M34</f>
        <v>120</v>
      </c>
      <c r="R366">
        <f>'B2 - Pay &amp; Agency'!N34</f>
        <v>23.727272727272727</v>
      </c>
      <c r="S366">
        <f>'B2 - Pay &amp; Agency'!P34</f>
        <v>284.72727272727275</v>
      </c>
      <c r="U366">
        <f t="shared" si="14"/>
        <v>284.72727272727275</v>
      </c>
    </row>
    <row r="367" spans="1:21">
      <c r="A367" s="2894" t="str">
        <f>ORG!$S$1</f>
        <v>Feb 24</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v>
      </c>
      <c r="M367">
        <f>'B2 - Pay &amp; Agency'!I35</f>
        <v>0</v>
      </c>
      <c r="N367">
        <f>'B2 - Pay &amp; Agency'!J35</f>
        <v>0</v>
      </c>
      <c r="O367">
        <f>'B2 - Pay &amp; Agency'!K35</f>
        <v>0</v>
      </c>
      <c r="P367">
        <f>'B2 - Pay &amp; Agency'!L35</f>
        <v>0</v>
      </c>
      <c r="Q367">
        <f>'B2 - Pay &amp; Agency'!M35</f>
        <v>0</v>
      </c>
      <c r="R367">
        <f>'B2 - Pay &amp; Agency'!N35</f>
        <v>0.27272727272727271</v>
      </c>
      <c r="S367">
        <f>'B2 - Pay &amp; Agency'!P35</f>
        <v>3.2727272727272725</v>
      </c>
      <c r="U367">
        <f t="shared" si="14"/>
        <v>3.2727272727272725</v>
      </c>
    </row>
    <row r="368" spans="1:21">
      <c r="A368" s="2894" t="str">
        <f>ORG!$S$1</f>
        <v>Feb 24</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Feb 24</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20</v>
      </c>
      <c r="L369">
        <f>'B2 - Pay &amp; Agency'!H37</f>
        <v>8</v>
      </c>
      <c r="M369">
        <f>'B2 - Pay &amp; Agency'!I37</f>
        <v>16</v>
      </c>
      <c r="N369">
        <f>'B2 - Pay &amp; Agency'!J37</f>
        <v>5</v>
      </c>
      <c r="O369">
        <f>'B2 - Pay &amp; Agency'!K37</f>
        <v>2</v>
      </c>
      <c r="P369">
        <f>'B2 - Pay &amp; Agency'!L37</f>
        <v>9</v>
      </c>
      <c r="Q369">
        <f>'B2 - Pay &amp; Agency'!M37</f>
        <v>22</v>
      </c>
      <c r="R369">
        <f>'B2 - Pay &amp; Agency'!N37</f>
        <v>16.727272727272727</v>
      </c>
      <c r="S369">
        <f>'B2 - Pay &amp; Agency'!P37</f>
        <v>200.72727272727272</v>
      </c>
      <c r="U369">
        <f t="shared" si="14"/>
        <v>200.72727272727272</v>
      </c>
    </row>
    <row r="370" spans="1:21">
      <c r="A370" s="2894" t="str">
        <f>ORG!$S$1</f>
        <v>Feb 24</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-10</v>
      </c>
      <c r="L370">
        <f>'B2 - Pay &amp; Agency'!H38</f>
        <v>-1</v>
      </c>
      <c r="M370">
        <f>'B2 - Pay &amp; Agency'!I38</f>
        <v>0</v>
      </c>
      <c r="N370">
        <f>'B2 - Pay &amp; Agency'!J38</f>
        <v>0</v>
      </c>
      <c r="O370">
        <f>'B2 - Pay &amp; Agency'!K38</f>
        <v>0</v>
      </c>
      <c r="P370">
        <f>'B2 - Pay &amp; Agency'!L38</f>
        <v>0</v>
      </c>
      <c r="Q370">
        <f>'B2 - Pay &amp; Agency'!M38</f>
        <v>-1</v>
      </c>
      <c r="R370">
        <f>'B2 - Pay &amp; Agency'!N38</f>
        <v>-1.5</v>
      </c>
      <c r="S370">
        <f>'B2 - Pay &amp; Agency'!P38</f>
        <v>-16.5</v>
      </c>
      <c r="U370">
        <f t="shared" si="14"/>
        <v>-16.5</v>
      </c>
    </row>
    <row r="371" spans="1:21">
      <c r="A371" s="2894" t="str">
        <f>ORG!$S$1</f>
        <v>Feb 24</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75</v>
      </c>
      <c r="L371">
        <f>'B2 - Pay &amp; Agency'!H39</f>
        <v>58</v>
      </c>
      <c r="M371">
        <f>'B2 - Pay &amp; Agency'!I39</f>
        <v>48</v>
      </c>
      <c r="N371">
        <f>'B2 - Pay &amp; Agency'!J39</f>
        <v>45</v>
      </c>
      <c r="O371">
        <f>'B2 - Pay &amp; Agency'!K39</f>
        <v>27</v>
      </c>
      <c r="P371">
        <f>'B2 - Pay &amp; Agency'!L39</f>
        <v>54</v>
      </c>
      <c r="Q371">
        <f>'B2 - Pay &amp; Agency'!M39</f>
        <v>71</v>
      </c>
      <c r="R371">
        <f>'B2 - Pay &amp; Agency'!N39</f>
        <v>64.181818181818187</v>
      </c>
      <c r="S371">
        <f>'B2 - Pay &amp; Agency'!P39</f>
        <v>770.18181818181824</v>
      </c>
      <c r="U371">
        <f t="shared" si="14"/>
        <v>770.18181818181824</v>
      </c>
    </row>
    <row r="372" spans="1:21">
      <c r="A372" s="2894" t="str">
        <f>ORG!$S$1</f>
        <v>Feb 24</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0</v>
      </c>
      <c r="L372">
        <f>'B2 - Pay &amp; Agency'!H40</f>
        <v>0</v>
      </c>
      <c r="M372">
        <f>'B2 - Pay &amp; Agency'!I40</f>
        <v>0</v>
      </c>
      <c r="N372">
        <f>'B2 - Pay &amp; Agency'!J40</f>
        <v>0</v>
      </c>
      <c r="O372">
        <f>'B2 - Pay &amp; Agency'!K40</f>
        <v>0</v>
      </c>
      <c r="P372">
        <f>'B2 - Pay &amp; Agency'!L40</f>
        <v>0</v>
      </c>
      <c r="Q372">
        <f>'B2 - Pay &amp; Agency'!M40</f>
        <v>-8</v>
      </c>
      <c r="R372">
        <f>'B2 - Pay &amp; Agency'!N40</f>
        <v>-9.0909090909090912E-2</v>
      </c>
      <c r="S372">
        <f>'B2 - Pay &amp; Agency'!P40</f>
        <v>-1.0909090909090908</v>
      </c>
      <c r="U372">
        <f t="shared" si="14"/>
        <v>-1.0909090909090908</v>
      </c>
    </row>
    <row r="373" spans="1:21">
      <c r="A373" s="2894" t="str">
        <f>ORG!$S$1</f>
        <v>Feb 24</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Feb 24</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310</v>
      </c>
      <c r="L374">
        <f>'B2 - Pay &amp; Agency'!H42</f>
        <v>203</v>
      </c>
      <c r="M374">
        <f>'B2 - Pay &amp; Agency'!I42</f>
        <v>109</v>
      </c>
      <c r="N374">
        <f>'B2 - Pay &amp; Agency'!J42</f>
        <v>174</v>
      </c>
      <c r="O374">
        <f>'B2 - Pay &amp; Agency'!K42</f>
        <v>112</v>
      </c>
      <c r="P374">
        <f>'B2 - Pay &amp; Agency'!L42</f>
        <v>231</v>
      </c>
      <c r="Q374">
        <f>'B2 - Pay &amp; Agency'!M42</f>
        <v>435</v>
      </c>
      <c r="R374">
        <f>'B2 - Pay &amp; Agency'!N42</f>
        <v>248.31818181818181</v>
      </c>
      <c r="S374">
        <f>'B2 - Pay &amp; Agency'!P42</f>
        <v>2981.318181818182</v>
      </c>
      <c r="U374">
        <f t="shared" si="14"/>
        <v>2981.318181818182</v>
      </c>
    </row>
    <row r="375" spans="1:21">
      <c r="A375" s="2894" t="str">
        <f>ORG!$S$1</f>
        <v>Feb 24</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2.6793431287813311E-2</v>
      </c>
      <c r="L375">
        <f>IFERROR('B2 - Pay &amp; Agency'!H44,0)</f>
        <v>1.8026818222182755E-2</v>
      </c>
      <c r="M375">
        <f>IFERROR('B2 - Pay &amp; Agency'!I44,0)</f>
        <v>9.3618483208794991E-3</v>
      </c>
      <c r="N375">
        <f>IFERROR('B2 - Pay &amp; Agency'!J44,0)</f>
        <v>1.5331747290510176E-2</v>
      </c>
      <c r="O375">
        <f>IFERROR('B2 - Pay &amp; Agency'!K44,0)</f>
        <v>9.6793708408953426E-3</v>
      </c>
      <c r="P375">
        <f>IFERROR('B2 - Pay &amp; Agency'!L44,0)</f>
        <v>1.9996537396121884E-2</v>
      </c>
      <c r="Q375">
        <f>IFERROR('B2 - Pay &amp; Agency'!M44,0)</f>
        <v>5.3597831444061113E-2</v>
      </c>
      <c r="R375">
        <f>IFERROR('B2 - Pay &amp; Agency'!N44,0)</f>
        <v>1.98623760095889E-2</v>
      </c>
      <c r="S375">
        <f>IFERROR('B2 - Pay &amp; Agency'!O44,0)</f>
        <v>2.2074324160602218E-2</v>
      </c>
      <c r="U375">
        <f t="shared" si="14"/>
        <v>2.2074324160602218E-2</v>
      </c>
    </row>
    <row r="376" spans="1:21">
      <c r="A376" s="2894" t="str">
        <f>ORG!$S$1</f>
        <v>Feb 24</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304</v>
      </c>
      <c r="L376">
        <f>'B2 - Pay &amp; Agency'!H52</f>
        <v>197</v>
      </c>
      <c r="M376">
        <f>'B2 - Pay &amp; Agency'!I52</f>
        <v>103</v>
      </c>
      <c r="N376">
        <f>'B2 - Pay &amp; Agency'!J52</f>
        <v>168</v>
      </c>
      <c r="O376">
        <f>'B2 - Pay &amp; Agency'!K52</f>
        <v>106</v>
      </c>
      <c r="P376">
        <f>'B2 - Pay &amp; Agency'!L52</f>
        <v>225</v>
      </c>
      <c r="Q376">
        <f>'B2 - Pay &amp; Agency'!M52</f>
        <v>429</v>
      </c>
      <c r="R376">
        <f>'B2 - Pay &amp; Agency'!N52</f>
        <v>242.09090909090909</v>
      </c>
      <c r="S376">
        <f>'B2 - Pay &amp; Agency'!P52</f>
        <v>2905.090909090909</v>
      </c>
      <c r="U376">
        <f t="shared" si="14"/>
        <v>2905.090909090909</v>
      </c>
    </row>
    <row r="377" spans="1:21">
      <c r="A377" s="2894" t="str">
        <f>ORG!$S$1</f>
        <v>Feb 24</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6</v>
      </c>
      <c r="L377">
        <f>'B2 - Pay &amp; Agency'!H53</f>
        <v>6</v>
      </c>
      <c r="M377">
        <f>'B2 - Pay &amp; Agency'!I53</f>
        <v>6</v>
      </c>
      <c r="N377">
        <f>'B2 - Pay &amp; Agency'!J53</f>
        <v>6</v>
      </c>
      <c r="O377">
        <f>'B2 - Pay &amp; Agency'!K53</f>
        <v>6</v>
      </c>
      <c r="P377">
        <f>'B2 - Pay &amp; Agency'!L53</f>
        <v>6</v>
      </c>
      <c r="Q377">
        <f>'B2 - Pay &amp; Agency'!M53</f>
        <v>6.4</v>
      </c>
      <c r="R377">
        <f>'B2 - Pay &amp; Agency'!N53</f>
        <v>6.4</v>
      </c>
      <c r="S377">
        <f>'B2 - Pay &amp; Agency'!P53</f>
        <v>76.800000000000011</v>
      </c>
      <c r="U377">
        <f t="shared" si="14"/>
        <v>76.800000000000011</v>
      </c>
    </row>
    <row r="378" spans="1:21">
      <c r="A378" s="2894" t="str">
        <f>ORG!$S$1</f>
        <v>Feb 24</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Feb 24</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Feb 24</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Feb 24</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Feb 24</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Feb 24</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Feb 24</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Feb 24</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Feb 24</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Feb 24</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Feb 24</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Feb 24</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310</v>
      </c>
      <c r="L389">
        <f>'B2 - Pay &amp; Agency'!H65</f>
        <v>203</v>
      </c>
      <c r="M389">
        <f>'B2 - Pay &amp; Agency'!I65</f>
        <v>109</v>
      </c>
      <c r="N389">
        <f>'B2 - Pay &amp; Agency'!J65</f>
        <v>174</v>
      </c>
      <c r="O389">
        <f>'B2 - Pay &amp; Agency'!K65</f>
        <v>112</v>
      </c>
      <c r="P389">
        <f>'B2 - Pay &amp; Agency'!L65</f>
        <v>231</v>
      </c>
      <c r="Q389">
        <f>'B2 - Pay &amp; Agency'!M65</f>
        <v>435.4</v>
      </c>
      <c r="R389">
        <f>'B2 - Pay &amp; Agency'!N65</f>
        <v>248.4909090909091</v>
      </c>
      <c r="S389">
        <f>'B2 - Pay &amp; Agency'!P65</f>
        <v>2981.8909090909092</v>
      </c>
      <c r="U389">
        <f t="shared" si="15"/>
        <v>2981.8909090909092</v>
      </c>
    </row>
    <row r="390" spans="1:21">
      <c r="A390" s="2894" t="str">
        <f>ORG!$S$1</f>
        <v>Feb 24</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Feb 24</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Feb 24</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39.096609999999998</v>
      </c>
      <c r="L392">
        <f>'B3 - COVID-19'!H10</f>
        <v>52.505600000000008</v>
      </c>
      <c r="M392">
        <f>'B3 - COVID-19'!I10</f>
        <v>19.189489999999999</v>
      </c>
      <c r="N392">
        <f>'B3 - COVID-19'!J10</f>
        <v>18.692790000000002</v>
      </c>
      <c r="O392">
        <f>'B3 - COVID-19'!K10</f>
        <v>17.403950000000002</v>
      </c>
      <c r="P392">
        <f>'B3 - COVID-19'!L10</f>
        <v>16.024190000000001</v>
      </c>
      <c r="Q392">
        <f>'B3 - COVID-19'!M10</f>
        <v>29.026669999999999</v>
      </c>
      <c r="R392">
        <f>'B3 - COVID-19'!N10</f>
        <v>16.993336666666668</v>
      </c>
      <c r="S392">
        <f>'B3 - COVID-19'!P10</f>
        <v>309.92013666666674</v>
      </c>
      <c r="U392">
        <f t="shared" si="17"/>
        <v>309.92013666666674</v>
      </c>
    </row>
    <row r="393" spans="1:21">
      <c r="A393" s="2894" t="str">
        <f>ORG!$S$1</f>
        <v>Feb 24</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Feb 24</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Feb 24</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Feb 24</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2.6217800000000002</v>
      </c>
      <c r="L396">
        <f>'B3 - COVID-19'!H14</f>
        <v>2.6217800000000002</v>
      </c>
      <c r="M396">
        <f>'B3 - COVID-19'!I14</f>
        <v>3.7016799999999996</v>
      </c>
      <c r="N396">
        <f>'B3 - COVID-19'!J14</f>
        <v>2.88733</v>
      </c>
      <c r="O396">
        <f>'B3 - COVID-19'!K14</f>
        <v>2.88733</v>
      </c>
      <c r="P396">
        <f>'B3 - COVID-19'!L14</f>
        <v>2.88733</v>
      </c>
      <c r="Q396">
        <f>'B3 - COVID-19'!M14</f>
        <v>2.88733</v>
      </c>
      <c r="R396">
        <f>'B3 - COVID-19'!N14</f>
        <v>2.88733</v>
      </c>
      <c r="S396">
        <f>'B3 - COVID-19'!P14</f>
        <v>35.400349999999996</v>
      </c>
      <c r="U396">
        <f t="shared" si="17"/>
        <v>35.400349999999996</v>
      </c>
    </row>
    <row r="397" spans="1:21">
      <c r="A397" s="2894" t="str">
        <f>ORG!$S$1</f>
        <v>Feb 24</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Feb 24</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32.072389999999999</v>
      </c>
      <c r="L398">
        <f>'B3 - COVID-19'!H16</f>
        <v>31.130370000000003</v>
      </c>
      <c r="M398">
        <f>'B3 - COVID-19'!I16</f>
        <v>25.609959999999997</v>
      </c>
      <c r="N398">
        <f>'B3 - COVID-19'!J16</f>
        <v>30.137180000000001</v>
      </c>
      <c r="O398">
        <f>'B3 - COVID-19'!K16</f>
        <v>29.404870000000003</v>
      </c>
      <c r="P398">
        <f>'B3 - COVID-19'!L16</f>
        <v>32.662179999999999</v>
      </c>
      <c r="Q398">
        <f>'B3 - COVID-19'!M16</f>
        <v>27.931359999999994</v>
      </c>
      <c r="R398">
        <f>'B3 - COVID-19'!N16</f>
        <v>37.751440000000002</v>
      </c>
      <c r="S398">
        <f>'B3 - COVID-19'!P16</f>
        <v>369.33935999999994</v>
      </c>
      <c r="U398">
        <f t="shared" si="17"/>
        <v>369.33935999999994</v>
      </c>
    </row>
    <row r="399" spans="1:21">
      <c r="A399" s="2894" t="str">
        <f>ORG!$S$1</f>
        <v>Feb 24</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Feb 24</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Feb 24</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73.790779999999998</v>
      </c>
      <c r="L401">
        <f>'B3 - COVID-19'!H19</f>
        <v>86.257750000000016</v>
      </c>
      <c r="M401">
        <f>'B3 - COVID-19'!I19</f>
        <v>48.501129999999996</v>
      </c>
      <c r="N401">
        <f>'B3 - COVID-19'!J19</f>
        <v>51.717300000000002</v>
      </c>
      <c r="O401">
        <f>'B3 - COVID-19'!K19</f>
        <v>49.696150000000003</v>
      </c>
      <c r="P401">
        <f>'B3 - COVID-19'!L19</f>
        <v>51.573700000000002</v>
      </c>
      <c r="Q401">
        <f>'B3 - COVID-19'!M19</f>
        <v>59.845359999999992</v>
      </c>
      <c r="R401">
        <f>'B3 - COVID-19'!N19</f>
        <v>57.632106666666672</v>
      </c>
      <c r="S401">
        <f>'B3 - COVID-19'!P19</f>
        <v>714.65984666666668</v>
      </c>
      <c r="U401">
        <f t="shared" si="17"/>
        <v>714.65984666666668</v>
      </c>
    </row>
    <row r="402" spans="1:21">
      <c r="A402" s="2894" t="str">
        <f>ORG!$S$1</f>
        <v>Feb 24</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Feb 24</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Feb 24</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Feb 24</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832.78728000000012</v>
      </c>
      <c r="L405">
        <f>'B3 - COVID-19'!H23</f>
        <v>668.40530000000012</v>
      </c>
      <c r="M405">
        <f>'B3 - COVID-19'!I23</f>
        <v>996.61832000000015</v>
      </c>
      <c r="N405">
        <f>'B3 - COVID-19'!J23</f>
        <v>650.01325999999995</v>
      </c>
      <c r="O405">
        <f>'B3 - COVID-19'!K23</f>
        <v>846.13830999999993</v>
      </c>
      <c r="P405">
        <f>'B3 - COVID-19'!L23</f>
        <v>848.50055999999995</v>
      </c>
      <c r="Q405">
        <f>'B3 - COVID-19'!M23</f>
        <v>774.53838999999982</v>
      </c>
      <c r="R405">
        <f>'B3 - COVID-19'!N23</f>
        <v>1040.11833</v>
      </c>
      <c r="S405">
        <f>'B3 - COVID-19'!P23</f>
        <v>9765.63969</v>
      </c>
      <c r="U405">
        <f t="shared" si="17"/>
        <v>9765.63969</v>
      </c>
    </row>
    <row r="406" spans="1:21">
      <c r="A406" s="2894" t="str">
        <f>ORG!$S$1</f>
        <v>Feb 24</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-0.6</v>
      </c>
      <c r="L406">
        <f>'B3 - COVID-19'!H24</f>
        <v>-1.425</v>
      </c>
      <c r="M406">
        <f>'B3 - COVID-19'!I24</f>
        <v>0</v>
      </c>
      <c r="N406">
        <f>'B3 - COVID-19'!J24</f>
        <v>0.34499999999999997</v>
      </c>
      <c r="O406">
        <f>'B3 - COVID-19'!K24</f>
        <v>-5.28</v>
      </c>
      <c r="P406">
        <f>'B3 - COVID-19'!L24</f>
        <v>0</v>
      </c>
      <c r="Q406">
        <f>'B3 - COVID-19'!M24</f>
        <v>0</v>
      </c>
      <c r="R406">
        <f>'B3 - COVID-19'!N24</f>
        <v>32.5</v>
      </c>
      <c r="S406">
        <f>'B3 - COVID-19'!P24</f>
        <v>55.44</v>
      </c>
      <c r="U406">
        <f t="shared" si="17"/>
        <v>55.44</v>
      </c>
    </row>
    <row r="407" spans="1:21">
      <c r="A407" s="2894" t="str">
        <f>ORG!$S$1</f>
        <v>Feb 24</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47.095999999999997</v>
      </c>
      <c r="N407">
        <f>'B3 - COVID-19'!J25</f>
        <v>40.130000000000003</v>
      </c>
      <c r="O407">
        <f>'B3 - COVID-19'!K25</f>
        <v>-40.130000000000003</v>
      </c>
      <c r="P407">
        <f>'B3 - COVID-19'!L25</f>
        <v>33.997</v>
      </c>
      <c r="Q407">
        <f>'B3 - COVID-19'!M25</f>
        <v>0</v>
      </c>
      <c r="R407">
        <f>'B3 - COVID-19'!N25</f>
        <v>27.030999999999999</v>
      </c>
      <c r="S407">
        <f>'B3 - COVID-19'!P25</f>
        <v>108.124</v>
      </c>
      <c r="U407">
        <f t="shared" si="17"/>
        <v>108.124</v>
      </c>
    </row>
    <row r="408" spans="1:21">
      <c r="A408" s="2894" t="str">
        <f>ORG!$S$1</f>
        <v>Feb 24</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Feb 24</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Feb 24</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Feb 24</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Feb 24</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Feb 24</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Feb 24</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Feb 24</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832.1872800000001</v>
      </c>
      <c r="L415">
        <f>'B3 - COVID-19'!H33</f>
        <v>666.98030000000017</v>
      </c>
      <c r="M415">
        <f>'B3 - COVID-19'!I33</f>
        <v>1043.71432</v>
      </c>
      <c r="N415">
        <f>'B3 - COVID-19'!J33</f>
        <v>690.48825999999997</v>
      </c>
      <c r="O415">
        <f>'B3 - COVID-19'!K33</f>
        <v>800.72830999999996</v>
      </c>
      <c r="P415">
        <f>'B3 - COVID-19'!L33</f>
        <v>882.49755999999991</v>
      </c>
      <c r="Q415">
        <f>'B3 - COVID-19'!M33</f>
        <v>774.53838999999982</v>
      </c>
      <c r="R415">
        <f>'B3 - COVID-19'!N33</f>
        <v>1099.64933</v>
      </c>
      <c r="S415">
        <f>'B3 - COVID-19'!P33</f>
        <v>9929.2036900000003</v>
      </c>
      <c r="U415">
        <f t="shared" si="17"/>
        <v>9929.2036900000003</v>
      </c>
    </row>
    <row r="416" spans="1:21">
      <c r="A416" s="2894" t="str">
        <f>ORG!$S$1</f>
        <v>Feb 24</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905.97806000000014</v>
      </c>
      <c r="L416">
        <f>'B3 - COVID-19'!H34</f>
        <v>753.23805000000016</v>
      </c>
      <c r="M416">
        <f>'B3 - COVID-19'!I34</f>
        <v>1092.2154500000001</v>
      </c>
      <c r="N416">
        <f>'B3 - COVID-19'!J34</f>
        <v>742.20555999999999</v>
      </c>
      <c r="O416">
        <f>'B3 - COVID-19'!K34</f>
        <v>850.42445999999995</v>
      </c>
      <c r="P416">
        <f>'B3 - COVID-19'!L34</f>
        <v>934.07125999999994</v>
      </c>
      <c r="Q416">
        <f>'B3 - COVID-19'!M34</f>
        <v>834.38374999999985</v>
      </c>
      <c r="R416">
        <f>'B3 - COVID-19'!N34</f>
        <v>1157.2814366666667</v>
      </c>
      <c r="S416">
        <f>'B3 - COVID-19'!P34</f>
        <v>10643.863536666668</v>
      </c>
      <c r="U416">
        <f t="shared" si="17"/>
        <v>10643.863536666668</v>
      </c>
    </row>
    <row r="417" spans="1:21">
      <c r="A417" s="2894" t="str">
        <f>ORG!$S$1</f>
        <v>Feb 24</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Feb 24</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109.73898940240952</v>
      </c>
      <c r="L418">
        <f>'B3 - COVID-19'!H37</f>
        <v>719.0221164109339</v>
      </c>
      <c r="M418">
        <f>'B3 - COVID-19'!I37</f>
        <v>179.50531213733234</v>
      </c>
      <c r="N418">
        <f>'B3 - COVID-19'!J37</f>
        <v>534.7356309931173</v>
      </c>
      <c r="O418">
        <f>'B3 - COVID-19'!K37</f>
        <v>950.85369380399902</v>
      </c>
      <c r="P418">
        <f>'B3 - COVID-19'!L37</f>
        <v>375.64950213733255</v>
      </c>
      <c r="Q418">
        <f>'B3 - COVID-19'!M37</f>
        <v>371.46091484890246</v>
      </c>
      <c r="R418">
        <f>'B3 - COVID-19'!N37</f>
        <v>567.40444935955452</v>
      </c>
      <c r="S418">
        <f>'B3 - COVID-19'!P37</f>
        <v>4796.1364609760021</v>
      </c>
      <c r="U418">
        <f t="shared" si="17"/>
        <v>4796.1364609760021</v>
      </c>
    </row>
    <row r="419" spans="1:21">
      <c r="A419" s="2894" t="str">
        <f>ORG!$S$1</f>
        <v>Feb 24</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Feb 24</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905.97806000000014</v>
      </c>
      <c r="L420">
        <f>'B3 - COVID-19'!H42</f>
        <v>753.23805000000016</v>
      </c>
      <c r="M420">
        <f>'B3 - COVID-19'!I42</f>
        <v>1092.2154500000001</v>
      </c>
      <c r="N420">
        <f>'B3 - COVID-19'!J42</f>
        <v>742.20555999999999</v>
      </c>
      <c r="O420">
        <f>'B3 - COVID-19'!K42</f>
        <v>850.42445999999995</v>
      </c>
      <c r="P420">
        <f>'B3 - COVID-19'!L42</f>
        <v>934.07125999999994</v>
      </c>
      <c r="Q420">
        <f>'B3 - COVID-19'!M42</f>
        <v>834.38374999999985</v>
      </c>
      <c r="R420">
        <f>'B3 - COVID-19'!N42</f>
        <v>1157.2814366666667</v>
      </c>
      <c r="S420">
        <f>'B3 - COVID-19'!P42</f>
        <v>10643.863536666668</v>
      </c>
      <c r="U420">
        <f t="shared" si="18"/>
        <v>10643.863536666668</v>
      </c>
    </row>
    <row r="421" spans="1:21">
      <c r="A421" s="2894" t="str">
        <f>ORG!$S$1</f>
        <v>Feb 24</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Feb 24</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905.97806000000014</v>
      </c>
      <c r="L422">
        <f>'B3 - COVID-19'!H44</f>
        <v>753.23805000000016</v>
      </c>
      <c r="M422">
        <f>'B3 - COVID-19'!I44</f>
        <v>1092.2154500000001</v>
      </c>
      <c r="N422">
        <f>'B3 - COVID-19'!J44</f>
        <v>742.20555999999999</v>
      </c>
      <c r="O422">
        <f>'B3 - COVID-19'!K44</f>
        <v>850.42445999999995</v>
      </c>
      <c r="P422">
        <f>'B3 - COVID-19'!L44</f>
        <v>934.07125999999994</v>
      </c>
      <c r="Q422">
        <f>'B3 - COVID-19'!M44</f>
        <v>834.38374999999985</v>
      </c>
      <c r="R422">
        <f>'B3 - COVID-19'!N44</f>
        <v>1157.2814366666667</v>
      </c>
      <c r="S422">
        <f>'B3 - COVID-19'!P44</f>
        <v>10643.863536666668</v>
      </c>
      <c r="U422">
        <f t="shared" si="18"/>
        <v>10643.863536666668</v>
      </c>
    </row>
    <row r="423" spans="1:21">
      <c r="A423" s="2894" t="str">
        <f>ORG!$S$1</f>
        <v>Feb 24</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-109.73898940240952</v>
      </c>
      <c r="L423">
        <f>'B3 - COVID-19'!H45</f>
        <v>-719.0221164109339</v>
      </c>
      <c r="M423">
        <f>'B3 - COVID-19'!I45</f>
        <v>-179.50531213733234</v>
      </c>
      <c r="N423">
        <f>'B3 - COVID-19'!J45</f>
        <v>-534.7356309931173</v>
      </c>
      <c r="O423">
        <f>'B3 - COVID-19'!K45</f>
        <v>-950.85369380399902</v>
      </c>
      <c r="P423">
        <f>'B3 - COVID-19'!L45</f>
        <v>-375.64950213733255</v>
      </c>
      <c r="Q423">
        <f>'B3 - COVID-19'!M45</f>
        <v>-371.46091484890246</v>
      </c>
      <c r="R423">
        <f>'B3 - COVID-19'!N45</f>
        <v>-567.40444935955452</v>
      </c>
      <c r="S423">
        <f>'B3 - COVID-19'!P45</f>
        <v>-4796.1362309760007</v>
      </c>
      <c r="U423">
        <f t="shared" si="18"/>
        <v>-4796.1362309760007</v>
      </c>
    </row>
    <row r="424" spans="1:21">
      <c r="A424" s="2894" t="str">
        <f>ORG!$S$1</f>
        <v>Feb 24</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Feb 24</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Feb 24</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29.36364</v>
      </c>
      <c r="L426">
        <f>'B3 - COVID-19'!H53</f>
        <v>26.074489999999997</v>
      </c>
      <c r="M426">
        <f>'B3 - COVID-19'!I53</f>
        <v>27.66</v>
      </c>
      <c r="N426">
        <f>'B3 - COVID-19'!J53</f>
        <v>22.743099999999998</v>
      </c>
      <c r="O426">
        <f>'B3 - COVID-19'!K53</f>
        <v>22.818529999999999</v>
      </c>
      <c r="P426">
        <f>'B3 - COVID-19'!L53</f>
        <v>22.696940000000001</v>
      </c>
      <c r="Q426">
        <f>'B3 - COVID-19'!M53</f>
        <v>19.725239999999999</v>
      </c>
      <c r="R426">
        <f>'B3 - COVID-19'!N53</f>
        <v>19.537646666666667</v>
      </c>
      <c r="S426">
        <f>'B3 - COVID-19'!P53</f>
        <v>387.70886666666667</v>
      </c>
      <c r="U426">
        <f t="shared" si="17"/>
        <v>387.70886666666667</v>
      </c>
    </row>
    <row r="427" spans="1:21">
      <c r="A427" s="2894" t="str">
        <f>ORG!$S$1</f>
        <v>Feb 24</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Feb 24</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15.32296</v>
      </c>
      <c r="L428">
        <f>'B3 - COVID-19'!H55</f>
        <v>13.60045</v>
      </c>
      <c r="M428">
        <f>'B3 - COVID-19'!I55</f>
        <v>13.639560000000001</v>
      </c>
      <c r="N428">
        <f>'B3 - COVID-19'!J55</f>
        <v>30.933430000000001</v>
      </c>
      <c r="O428">
        <f>'B3 - COVID-19'!K55</f>
        <v>21.524089999999998</v>
      </c>
      <c r="P428">
        <f>'B3 - COVID-19'!L55</f>
        <v>22.000129999999999</v>
      </c>
      <c r="Q428">
        <f>'B3 - COVID-19'!M55</f>
        <v>22.000129999999999</v>
      </c>
      <c r="R428">
        <f>'B3 - COVID-19'!N55</f>
        <v>22.35308666666667</v>
      </c>
      <c r="S428">
        <f>'B3 - COVID-19'!P55</f>
        <v>161.37383666666665</v>
      </c>
      <c r="U428">
        <f t="shared" si="19"/>
        <v>161.37383666666665</v>
      </c>
    </row>
    <row r="429" spans="1:21">
      <c r="A429" s="2894" t="str">
        <f>ORG!$S$1</f>
        <v>Feb 24</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Feb 24</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Feb 24</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Feb 24</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17.830590000000001</v>
      </c>
      <c r="L432">
        <f>'B3 - COVID-19'!H59</f>
        <v>10.368669999999998</v>
      </c>
      <c r="M432">
        <f>'B3 - COVID-19'!I59</f>
        <v>12.288819999999999</v>
      </c>
      <c r="N432">
        <f>'B3 - COVID-19'!J59</f>
        <v>27.052419999999998</v>
      </c>
      <c r="O432">
        <f>'B3 - COVID-19'!K59</f>
        <v>20.64396</v>
      </c>
      <c r="P432">
        <f>'B3 - COVID-19'!L59</f>
        <v>20.485279999999999</v>
      </c>
      <c r="Q432">
        <f>'B3 - COVID-19'!M59</f>
        <v>20.414750000000002</v>
      </c>
      <c r="R432">
        <f>'B3 - COVID-19'!N59</f>
        <v>20.414576666666669</v>
      </c>
      <c r="S432">
        <f>'B3 - COVID-19'!P59</f>
        <v>227.31674666666666</v>
      </c>
      <c r="U432">
        <f t="shared" si="19"/>
        <v>227.31674666666666</v>
      </c>
    </row>
    <row r="433" spans="1:21">
      <c r="A433" s="2894" t="str">
        <f>ORG!$S$1</f>
        <v>Feb 24</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Feb 24</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Feb 24</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62.517189999999999</v>
      </c>
      <c r="L435">
        <f>'B3 - COVID-19'!H62</f>
        <v>50.043610000000001</v>
      </c>
      <c r="M435">
        <f>'B3 - COVID-19'!I62</f>
        <v>53.588380000000001</v>
      </c>
      <c r="N435">
        <f>'B3 - COVID-19'!J62</f>
        <v>80.728949999999998</v>
      </c>
      <c r="O435">
        <f>'B3 - COVID-19'!K62</f>
        <v>64.986580000000004</v>
      </c>
      <c r="P435">
        <f>'B3 - COVID-19'!L62</f>
        <v>65.18235</v>
      </c>
      <c r="Q435">
        <f>'B3 - COVID-19'!M62</f>
        <v>62.140119999999996</v>
      </c>
      <c r="R435">
        <f>'B3 - COVID-19'!N62</f>
        <v>62.305310000000006</v>
      </c>
      <c r="S435">
        <f>'B3 - COVID-19'!P62</f>
        <v>776.39944999999989</v>
      </c>
      <c r="U435">
        <f t="shared" si="19"/>
        <v>776.39944999999989</v>
      </c>
    </row>
    <row r="436" spans="1:21">
      <c r="A436" s="2894" t="str">
        <f>ORG!$S$1</f>
        <v>Feb 24</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Feb 24</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Feb 24</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Feb 24</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31.843490000000003</v>
      </c>
      <c r="L439">
        <f>'B3 - COVID-19'!H66</f>
        <v>39.321489999999997</v>
      </c>
      <c r="M439">
        <f>'B3 - COVID-19'!I66</f>
        <v>79.552019999999999</v>
      </c>
      <c r="N439">
        <f>'B3 - COVID-19'!J66</f>
        <v>-44.027630000000002</v>
      </c>
      <c r="O439">
        <f>'B3 - COVID-19'!K66</f>
        <v>8.6507000000000005</v>
      </c>
      <c r="P439">
        <f>'B3 - COVID-19'!L66</f>
        <v>94.361809999999991</v>
      </c>
      <c r="Q439">
        <f>'B3 - COVID-19'!M66</f>
        <v>22.424299999999999</v>
      </c>
      <c r="R439">
        <f>'B3 - COVID-19'!N66</f>
        <v>107.075</v>
      </c>
      <c r="S439">
        <f>'B3 - COVID-19'!P66</f>
        <v>460.70315999999997</v>
      </c>
      <c r="U439">
        <f t="shared" si="19"/>
        <v>460.70315999999997</v>
      </c>
    </row>
    <row r="440" spans="1:21">
      <c r="A440" s="2894" t="str">
        <f>ORG!$S$1</f>
        <v>Feb 24</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Feb 24</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Feb 24</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Feb 24</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Feb 24</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Feb 24</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Feb 24</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Feb 24</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Feb 24</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Feb 24</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31.843490000000003</v>
      </c>
      <c r="L449">
        <f>'B3 - COVID-19'!H76</f>
        <v>39.321489999999997</v>
      </c>
      <c r="M449">
        <f>'B3 - COVID-19'!I76</f>
        <v>79.552019999999999</v>
      </c>
      <c r="N449">
        <f>'B3 - COVID-19'!J76</f>
        <v>-44.027630000000002</v>
      </c>
      <c r="O449">
        <f>'B3 - COVID-19'!K76</f>
        <v>8.6507000000000005</v>
      </c>
      <c r="P449">
        <f>'B3 - COVID-19'!L76</f>
        <v>94.361809999999991</v>
      </c>
      <c r="Q449">
        <f>'B3 - COVID-19'!M76</f>
        <v>22.424299999999999</v>
      </c>
      <c r="R449">
        <f>'B3 - COVID-19'!N76</f>
        <v>107.075</v>
      </c>
      <c r="S449">
        <f>'B3 - COVID-19'!P76</f>
        <v>460.70315999999997</v>
      </c>
      <c r="U449">
        <f t="shared" si="19"/>
        <v>460.70315999999997</v>
      </c>
    </row>
    <row r="450" spans="1:21">
      <c r="A450" s="2894" t="str">
        <f>ORG!$S$1</f>
        <v>Feb 24</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94.360680000000002</v>
      </c>
      <c r="L450">
        <f>'B3 - COVID-19'!H77</f>
        <v>89.365099999999998</v>
      </c>
      <c r="M450">
        <f>'B3 - COVID-19'!I77</f>
        <v>133.1404</v>
      </c>
      <c r="N450">
        <f>'B3 - COVID-19'!J77</f>
        <v>36.701319999999996</v>
      </c>
      <c r="O450">
        <f>'B3 - COVID-19'!K77</f>
        <v>73.637280000000004</v>
      </c>
      <c r="P450">
        <f>'B3 - COVID-19'!L77</f>
        <v>159.54415999999998</v>
      </c>
      <c r="Q450">
        <f>'B3 - COVID-19'!M77</f>
        <v>84.564419999999998</v>
      </c>
      <c r="R450">
        <f>'B3 - COVID-19'!N77</f>
        <v>169.38031000000001</v>
      </c>
      <c r="S450">
        <f>'B3 - COVID-19'!P77</f>
        <v>1237.1026099999999</v>
      </c>
      <c r="U450">
        <f t="shared" si="19"/>
        <v>1237.1026099999999</v>
      </c>
    </row>
    <row r="451" spans="1:21">
      <c r="A451" s="2894" t="str">
        <f>ORG!$S$1</f>
        <v>Feb 24</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Feb 24</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25.166504848484834</v>
      </c>
      <c r="L452">
        <f>'B3 - COVID-19'!H80</f>
        <v>90.162084848484838</v>
      </c>
      <c r="M452">
        <f>'B3 - COVID-19'!I80</f>
        <v>33.886784848484837</v>
      </c>
      <c r="N452">
        <f>'B3 - COVID-19'!J80</f>
        <v>70.325864848484841</v>
      </c>
      <c r="O452">
        <f>'B3 - COVID-19'!K80</f>
        <v>33.389904848484832</v>
      </c>
      <c r="P452">
        <f>'B3 - COVID-19'!L80</f>
        <v>-52.51697515151514</v>
      </c>
      <c r="Q452">
        <f>'B3 - COVID-19'!M80</f>
        <v>74.313869848484856</v>
      </c>
      <c r="R452">
        <f>'B3 - COVID-19'!N80</f>
        <v>-10.502020151515154</v>
      </c>
      <c r="S452">
        <f>'B3 - COVID-19'!P80</f>
        <v>252.89739333333341</v>
      </c>
      <c r="U452">
        <f t="shared" si="19"/>
        <v>252.89739333333341</v>
      </c>
    </row>
    <row r="453" spans="1:21">
      <c r="A453" s="2894" t="str">
        <f>ORG!$S$1</f>
        <v>Feb 24</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Feb 24</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60.311959999999999</v>
      </c>
      <c r="H454">
        <f>'B3 - COVID-19'!D85</f>
        <v>89.321359999999999</v>
      </c>
      <c r="I454">
        <f>'B3 - COVID-19'!E85</f>
        <v>82.17770999999999</v>
      </c>
      <c r="J454">
        <f>'B3 - COVID-19'!F85</f>
        <v>164.59791000000001</v>
      </c>
      <c r="K454">
        <f>'B3 - COVID-19'!G85</f>
        <v>94.360680000000002</v>
      </c>
      <c r="L454">
        <f>'B3 - COVID-19'!H85</f>
        <v>89.365099999999998</v>
      </c>
      <c r="M454">
        <f>'B3 - COVID-19'!I85</f>
        <v>133.1404</v>
      </c>
      <c r="N454">
        <f>'B3 - COVID-19'!J85</f>
        <v>36.701319999999996</v>
      </c>
      <c r="O454">
        <f>'B3 - COVID-19'!K85</f>
        <v>73.637280000000004</v>
      </c>
      <c r="P454">
        <f>'B3 - COVID-19'!L85</f>
        <v>159.54415999999998</v>
      </c>
      <c r="Q454">
        <f>'B3 - COVID-19'!M85</f>
        <v>84.564419999999998</v>
      </c>
      <c r="R454">
        <f>'B3 - COVID-19'!N85</f>
        <v>169.38031000000001</v>
      </c>
      <c r="S454">
        <f>'B3 - COVID-19'!P85</f>
        <v>1237.1026099999999</v>
      </c>
      <c r="U454">
        <f t="shared" si="20"/>
        <v>1237.1026099999999</v>
      </c>
    </row>
    <row r="455" spans="1:21">
      <c r="A455" s="2894" t="str">
        <f>ORG!$S$1</f>
        <v>Feb 24</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Feb 24</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60.311959999999999</v>
      </c>
      <c r="H456">
        <f>'B3 - COVID-19'!D87</f>
        <v>89.321359999999999</v>
      </c>
      <c r="I456">
        <f>'B3 - COVID-19'!E87</f>
        <v>82.17770999999999</v>
      </c>
      <c r="J456">
        <f>'B3 - COVID-19'!F87</f>
        <v>164.59791000000001</v>
      </c>
      <c r="K456">
        <f>'B3 - COVID-19'!G87</f>
        <v>94.360680000000002</v>
      </c>
      <c r="L456">
        <f>'B3 - COVID-19'!H87</f>
        <v>89.365099999999998</v>
      </c>
      <c r="M456">
        <f>'B3 - COVID-19'!I87</f>
        <v>133.1404</v>
      </c>
      <c r="N456">
        <f>'B3 - COVID-19'!J87</f>
        <v>36.701319999999996</v>
      </c>
      <c r="O456">
        <f>'B3 - COVID-19'!K87</f>
        <v>73.637280000000004</v>
      </c>
      <c r="P456">
        <f>'B3 - COVID-19'!L87</f>
        <v>159.54415999999998</v>
      </c>
      <c r="Q456">
        <f>'B3 - COVID-19'!M87</f>
        <v>84.564419999999998</v>
      </c>
      <c r="R456">
        <f>'B3 - COVID-19'!N87</f>
        <v>169.38031000000001</v>
      </c>
      <c r="S456">
        <f>'B3 - COVID-19'!P87</f>
        <v>1237.1026099999999</v>
      </c>
      <c r="U456">
        <f t="shared" si="20"/>
        <v>1237.1026099999999</v>
      </c>
    </row>
    <row r="457" spans="1:21">
      <c r="A457" s="2894" t="str">
        <f>ORG!$S$1</f>
        <v>Feb 24</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-3.9999999998485691E-5</v>
      </c>
      <c r="H457">
        <f>'B3 - COVID-19'!D88</f>
        <v>3.6073751515151571</v>
      </c>
      <c r="I457">
        <f>'B3 - COVID-19'!E88</f>
        <v>-37.349474848484846</v>
      </c>
      <c r="J457">
        <f>'B3 - COVID-19'!F88</f>
        <v>45.070725151515177</v>
      </c>
      <c r="K457">
        <f>'B3 - COVID-19'!G88</f>
        <v>-25.166504848484834</v>
      </c>
      <c r="L457">
        <f>'B3 - COVID-19'!H88</f>
        <v>-90.162084848484838</v>
      </c>
      <c r="M457">
        <f>'B3 - COVID-19'!I88</f>
        <v>-33.886784848484837</v>
      </c>
      <c r="N457">
        <f>'B3 - COVID-19'!J88</f>
        <v>-70.325864848484841</v>
      </c>
      <c r="O457">
        <f>'B3 - COVID-19'!K88</f>
        <v>-33.389904848484832</v>
      </c>
      <c r="P457">
        <f>'B3 - COVID-19'!L88</f>
        <v>52.51697515151514</v>
      </c>
      <c r="Q457">
        <f>'B3 - COVID-19'!M88</f>
        <v>-74.313869848484856</v>
      </c>
      <c r="R457">
        <f>'B3 - COVID-19'!N88</f>
        <v>10.502020151515154</v>
      </c>
      <c r="S457">
        <f>'B3 - COVID-19'!P88</f>
        <v>-252.89743333333331</v>
      </c>
      <c r="U457">
        <f t="shared" si="20"/>
        <v>-252.89743333333331</v>
      </c>
    </row>
    <row r="458" spans="1:21">
      <c r="A458" s="2894" t="str">
        <f>ORG!$S$1</f>
        <v>Feb 24</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0</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0</v>
      </c>
      <c r="U458">
        <f t="shared" ref="U458" si="21">S458+T458</f>
        <v>0</v>
      </c>
    </row>
    <row r="459" spans="1:21">
      <c r="A459" s="2894" t="str">
        <f>ORG!$S$1</f>
        <v>Feb 24</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Feb 24</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Feb 24</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Feb 24</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Feb 24</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Feb 24</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Feb 24</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Feb 24</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Feb 24</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Feb 24</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Feb 24</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Feb 24</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Feb 24</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Feb 24</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Feb 24</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Feb 24</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Feb 24</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Feb 24</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Feb 24</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Feb 24</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Feb 24</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Feb 24</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Feb 24</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Feb 24</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Feb 24</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Feb 24</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Feb 24</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Feb 24</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Feb 24</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Feb 24</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Feb 24</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Feb 24</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Feb 24</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Feb 24</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Feb 24</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Feb 24</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Feb 24</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Feb 24</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Feb 24</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Feb 24</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Feb 24</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Feb 24</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Feb 24</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Feb 24</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Feb 24</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Feb 24</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1000.3387400000001</v>
      </c>
      <c r="L504">
        <f>'B3 - COVID-19'!H148</f>
        <v>842.60315000000014</v>
      </c>
      <c r="M504">
        <f>'B3 - COVID-19'!I148</f>
        <v>1225.3558500000001</v>
      </c>
      <c r="N504">
        <f>'B3 - COVID-19'!J148</f>
        <v>778.90688</v>
      </c>
      <c r="O504">
        <f>'B3 - COVID-19'!K148</f>
        <v>924.06173999999999</v>
      </c>
      <c r="P504">
        <f>'B3 - COVID-19'!L148</f>
        <v>1093.6154199999999</v>
      </c>
      <c r="Q504">
        <f>'B3 - COVID-19'!M148</f>
        <v>918.94816999999989</v>
      </c>
      <c r="R504">
        <f>'B3 - COVID-19'!N148</f>
        <v>1326.6617466666667</v>
      </c>
      <c r="S504">
        <f>'B3 - COVID-19'!P148</f>
        <v>11880.966146666666</v>
      </c>
      <c r="U504">
        <f t="shared" si="24"/>
        <v>11880.966146666666</v>
      </c>
    </row>
    <row r="505" spans="1:21">
      <c r="A505" s="2894" t="str">
        <f>ORG!$S$1</f>
        <v>Feb 24</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134.90549425089444</v>
      </c>
      <c r="L505">
        <f>'B3 - COVID-19'!H149</f>
        <v>809.18420125941884</v>
      </c>
      <c r="M505">
        <f>'B3 - COVID-19'!I149</f>
        <v>213.39209698581726</v>
      </c>
      <c r="N505">
        <f>'B3 - COVID-19'!J149</f>
        <v>605.06149584160221</v>
      </c>
      <c r="O505">
        <f>'B3 - COVID-19'!K149</f>
        <v>984.24359865248391</v>
      </c>
      <c r="P505">
        <f>'B3 - COVID-19'!L149</f>
        <v>323.13252698581755</v>
      </c>
      <c r="Q505">
        <f>'B3 - COVID-19'!M149</f>
        <v>445.7747846973873</v>
      </c>
      <c r="R505">
        <f>'B3 - COVID-19'!N149</f>
        <v>556.90242920803939</v>
      </c>
      <c r="S505">
        <f>'B3 - COVID-19'!P149</f>
        <v>5049.0338543093358</v>
      </c>
      <c r="U505">
        <f t="shared" si="24"/>
        <v>5049.0338543093358</v>
      </c>
    </row>
    <row r="506" spans="1:21">
      <c r="A506" s="2894" t="str">
        <f>ORG!$S$1</f>
        <v>Feb 24</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Feb 24</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984.98719000000006</v>
      </c>
      <c r="H507">
        <f>'B3 - COVID-19'!D152</f>
        <v>918.43759999999997</v>
      </c>
      <c r="I507">
        <f>'B3 - COVID-19'!E152</f>
        <v>961.73333000000002</v>
      </c>
      <c r="J507">
        <f>'B3 - COVID-19'!F152</f>
        <v>905.31633000000011</v>
      </c>
      <c r="K507">
        <f>'B3 - COVID-19'!G152</f>
        <v>1000.3387400000001</v>
      </c>
      <c r="L507">
        <f>'B3 - COVID-19'!H152</f>
        <v>842.60315000000014</v>
      </c>
      <c r="M507">
        <f>'B3 - COVID-19'!I152</f>
        <v>1225.3558500000001</v>
      </c>
      <c r="N507">
        <f>'B3 - COVID-19'!J152</f>
        <v>778.90688</v>
      </c>
      <c r="O507">
        <f>'B3 - COVID-19'!K152</f>
        <v>924.06173999999999</v>
      </c>
      <c r="P507">
        <f>'B3 - COVID-19'!L152</f>
        <v>1093.6154199999999</v>
      </c>
      <c r="Q507">
        <f>'B3 - COVID-19'!M152</f>
        <v>918.94816999999989</v>
      </c>
      <c r="R507">
        <f>'B3 - COVID-19'!N152</f>
        <v>1326.6617466666667</v>
      </c>
      <c r="S507">
        <f>'B3 - COVID-19'!P152</f>
        <v>11880.966146666666</v>
      </c>
      <c r="U507">
        <f t="shared" si="24"/>
        <v>11880.966146666666</v>
      </c>
    </row>
    <row r="508" spans="1:21">
      <c r="A508" s="2894" t="str">
        <f>ORG!$S$1</f>
        <v>Feb 24</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Feb 24</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984.98719000000006</v>
      </c>
      <c r="H509">
        <f>'B3 - COVID-19'!D154</f>
        <v>918.43759999999997</v>
      </c>
      <c r="I509">
        <f>'B3 - COVID-19'!E154</f>
        <v>961.73333000000002</v>
      </c>
      <c r="J509">
        <f>'B3 - COVID-19'!F154</f>
        <v>905.31633000000011</v>
      </c>
      <c r="K509">
        <f>'B3 - COVID-19'!G154</f>
        <v>1000.3387400000001</v>
      </c>
      <c r="L509">
        <f>'B3 - COVID-19'!H154</f>
        <v>842.60315000000014</v>
      </c>
      <c r="M509">
        <f>'B3 - COVID-19'!I154</f>
        <v>1225.3558500000001</v>
      </c>
      <c r="N509">
        <f>'B3 - COVID-19'!J154</f>
        <v>778.90688</v>
      </c>
      <c r="O509">
        <f>'B3 - COVID-19'!K154</f>
        <v>924.06173999999999</v>
      </c>
      <c r="P509">
        <f>'B3 - COVID-19'!L154</f>
        <v>1093.6154199999999</v>
      </c>
      <c r="Q509">
        <f>'B3 - COVID-19'!M154</f>
        <v>918.94816999999989</v>
      </c>
      <c r="R509">
        <f>'B3 - COVID-19'!N154</f>
        <v>1326.6617466666667</v>
      </c>
      <c r="S509">
        <f>'B3 - COVID-19'!P154</f>
        <v>11880.966146666666</v>
      </c>
      <c r="U509">
        <f t="shared" si="24"/>
        <v>11880.966146666666</v>
      </c>
    </row>
    <row r="510" spans="1:21">
      <c r="A510" s="2894" t="str">
        <f>ORG!$S$1</f>
        <v>Feb 24</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1.900000000887303E-4</v>
      </c>
      <c r="H510">
        <f>'B3 - COVID-19'!D155</f>
        <v>-128.49630925089446</v>
      </c>
      <c r="I510">
        <f>'B3 - COVID-19'!E155</f>
        <v>-608.51301292608559</v>
      </c>
      <c r="J510">
        <f>'B3 - COVID-19'!F155</f>
        <v>-239.42790425089447</v>
      </c>
      <c r="K510">
        <f>'B3 - COVID-19'!G155</f>
        <v>-134.90549425089444</v>
      </c>
      <c r="L510">
        <f>'B3 - COVID-19'!H155</f>
        <v>-809.18420125941884</v>
      </c>
      <c r="M510">
        <f>'B3 - COVID-19'!I155</f>
        <v>-213.39209698581726</v>
      </c>
      <c r="N510">
        <f>'B3 - COVID-19'!J155</f>
        <v>-605.06149584160221</v>
      </c>
      <c r="O510">
        <f>'B3 - COVID-19'!K155</f>
        <v>-984.24359865248391</v>
      </c>
      <c r="P510">
        <f>'B3 - COVID-19'!L155</f>
        <v>-323.13252698581755</v>
      </c>
      <c r="Q510">
        <f>'B3 - COVID-19'!M155</f>
        <v>-445.7747846973873</v>
      </c>
      <c r="R510">
        <f>'B3 - COVID-19'!N155</f>
        <v>-556.90242920803939</v>
      </c>
      <c r="S510">
        <f>'B3 - COVID-19'!P155</f>
        <v>-5049.033664309336</v>
      </c>
      <c r="U510">
        <f t="shared" si="24"/>
        <v>-5049.033664309336</v>
      </c>
    </row>
    <row r="511" spans="1:21">
      <c r="A511" s="2894" t="str">
        <f>ORG!$S$1</f>
        <v>Feb 24</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Feb 24</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0</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0</v>
      </c>
      <c r="U512">
        <f t="shared" ref="U512:U513" si="25">S512+T512</f>
        <v>0</v>
      </c>
    </row>
    <row r="513" spans="1:21">
      <c r="A513" s="2894" t="str">
        <f>ORG!$S$1</f>
        <v>Feb 24</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1.900000000887303E-4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1.900000000887303E-4</v>
      </c>
      <c r="U513">
        <f t="shared" si="25"/>
        <v>1.900000000887303E-4</v>
      </c>
    </row>
    <row r="514" spans="1:21">
      <c r="A514" s="2894" t="str">
        <f>ORG!$S$1</f>
        <v>Feb 24</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Feb 24</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Feb 24</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43.627660000000006</v>
      </c>
      <c r="L516">
        <f>'B3 - COVID-19'!X23</f>
        <v>43.62762</v>
      </c>
      <c r="M516">
        <f>'B3 - COVID-19'!Y23</f>
        <v>43.62764</v>
      </c>
      <c r="N516">
        <f>'B3 - COVID-19'!Z23</f>
        <v>43.627660000000006</v>
      </c>
      <c r="O516">
        <f>'B3 - COVID-19'!AA23</f>
        <v>43.627629999999996</v>
      </c>
      <c r="P516">
        <f>'B3 - COVID-19'!AB23</f>
        <v>49.340620000000001</v>
      </c>
      <c r="Q516">
        <f>'B3 - COVID-19'!AC23</f>
        <v>38.32441</v>
      </c>
      <c r="R516">
        <f>'B3 - COVID-19'!AD23</f>
        <v>44.037379999999999</v>
      </c>
      <c r="S516">
        <f>'B3 - COVID-19'!AF23</f>
        <v>524.35115999999994</v>
      </c>
      <c r="U516">
        <f t="shared" si="23"/>
        <v>524.35115999999994</v>
      </c>
    </row>
    <row r="517" spans="1:21">
      <c r="A517" s="2894" t="str">
        <f>ORG!$S$1</f>
        <v>Feb 24</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706.86956999999995</v>
      </c>
      <c r="J517">
        <f>'B3 - COVID-19'!V24</f>
        <v>537.04047000000003</v>
      </c>
      <c r="K517">
        <f>'B3 - COVID-19'!W24</f>
        <v>680.51191000000006</v>
      </c>
      <c r="L517">
        <f>'B3 - COVID-19'!X24</f>
        <v>506.77605</v>
      </c>
      <c r="M517">
        <f>'B3 - COVID-19'!Y24</f>
        <v>829.7471700000001</v>
      </c>
      <c r="N517">
        <f>'B3 - COVID-19'!Z24</f>
        <v>471.8843</v>
      </c>
      <c r="O517">
        <f>'B3 - COVID-19'!AA24</f>
        <v>628.60771999999997</v>
      </c>
      <c r="P517">
        <f>'B3 - COVID-19'!AB24</f>
        <v>623.99414999999999</v>
      </c>
      <c r="Q517">
        <f>'B3 - COVID-19'!AC24</f>
        <v>603.45462999999995</v>
      </c>
      <c r="R517">
        <f>'B3 - COVID-19'!AD24</f>
        <v>623.73983999999996</v>
      </c>
      <c r="S517">
        <f>'B3 - COVID-19'!AF24</f>
        <v>7527.8216900000007</v>
      </c>
      <c r="U517">
        <f t="shared" si="23"/>
        <v>7527.8216900000007</v>
      </c>
    </row>
    <row r="518" spans="1:21">
      <c r="A518" s="2894" t="str">
        <f>ORG!$S$1</f>
        <v>Feb 24</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22.490669999999998</v>
      </c>
      <c r="L518">
        <f>'B3 - COVID-19'!X25</f>
        <v>4.4910200000000007</v>
      </c>
      <c r="M518">
        <f>'B3 - COVID-19'!Y25</f>
        <v>4.2580200000000001</v>
      </c>
      <c r="N518">
        <f>'B3 - COVID-19'!Z25</f>
        <v>-2.5831999999999997</v>
      </c>
      <c r="O518">
        <f>'B3 - COVID-19'!AA25</f>
        <v>4.8153999999999995</v>
      </c>
      <c r="P518">
        <f>'B3 - COVID-19'!AB25</f>
        <v>-8.6778200000000005</v>
      </c>
      <c r="Q518">
        <f>'B3 - COVID-19'!AC25</f>
        <v>-0.12318000000000001</v>
      </c>
      <c r="R518">
        <f>'B3 - COVID-19'!AD25</f>
        <v>5</v>
      </c>
      <c r="S518">
        <f>'B3 - COVID-19'!AF25</f>
        <v>109.89657</v>
      </c>
      <c r="U518">
        <f t="shared" si="23"/>
        <v>109.89657</v>
      </c>
    </row>
    <row r="519" spans="1:21">
      <c r="A519" s="2894" t="str">
        <f>ORG!$S$1</f>
        <v>Feb 24</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-0.17215</v>
      </c>
      <c r="L519">
        <f>'B3 - COVID-19'!X26</f>
        <v>2.3000000000000001E-4</v>
      </c>
      <c r="M519">
        <f>'B3 - COVID-19'!Y26</f>
        <v>-2.7E-4</v>
      </c>
      <c r="N519">
        <f>'B3 - COVID-19'!Z26</f>
        <v>6.3000000000000003E-4</v>
      </c>
      <c r="O519">
        <f>'B3 - COVID-19'!AA26</f>
        <v>0</v>
      </c>
      <c r="P519">
        <f>'B3 - COVID-19'!AB26</f>
        <v>0</v>
      </c>
      <c r="Q519">
        <f>'B3 - COVID-19'!AC26</f>
        <v>-2.0000000000000002E-5</v>
      </c>
      <c r="R519">
        <f>'B3 - COVID-19'!AD26</f>
        <v>0</v>
      </c>
      <c r="S519">
        <f>'B3 - COVID-19'!AF26</f>
        <v>5.9641999999999991</v>
      </c>
      <c r="U519">
        <f t="shared" si="23"/>
        <v>5.9641999999999991</v>
      </c>
    </row>
    <row r="520" spans="1:21">
      <c r="A520" s="2894" t="str">
        <f>ORG!$S$1</f>
        <v>Feb 24</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50.44294</v>
      </c>
      <c r="L520">
        <f>'B3 - COVID-19'!X27</f>
        <v>75.466660000000005</v>
      </c>
      <c r="M520">
        <f>'B3 - COVID-19'!Y27</f>
        <v>80.71463</v>
      </c>
      <c r="N520">
        <f>'B3 - COVID-19'!Z27</f>
        <v>110.26105</v>
      </c>
      <c r="O520">
        <f>'B3 - COVID-19'!AA27</f>
        <v>121.87941000000001</v>
      </c>
      <c r="P520">
        <f>'B3 - COVID-19'!AB27</f>
        <v>100.05352999999999</v>
      </c>
      <c r="Q520">
        <f>'B3 - COVID-19'!AC27</f>
        <v>98.89546</v>
      </c>
      <c r="R520">
        <f>'B3 - COVID-19'!AD27</f>
        <v>101.51111</v>
      </c>
      <c r="S520">
        <f>'B3 - COVID-19'!AF27</f>
        <v>923.06103000000007</v>
      </c>
      <c r="U520">
        <f t="shared" si="23"/>
        <v>923.06103000000007</v>
      </c>
    </row>
    <row r="521" spans="1:21">
      <c r="A521" s="2894" t="str">
        <f>ORG!$S$1</f>
        <v>Feb 24</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34.03</v>
      </c>
      <c r="L521">
        <f>'B3 - COVID-19'!X28</f>
        <v>35.165080000000003</v>
      </c>
      <c r="M521">
        <f>'B3 - COVID-19'!Y28</f>
        <v>34.942140000000002</v>
      </c>
      <c r="N521">
        <f>'B3 - COVID-19'!Z28</f>
        <v>20.9559</v>
      </c>
      <c r="O521">
        <f>'B3 - COVID-19'!AA28</f>
        <v>32.581000000000003</v>
      </c>
      <c r="P521">
        <f>'B3 - COVID-19'!AB28</f>
        <v>44.671699999999994</v>
      </c>
      <c r="Q521">
        <f>'B3 - COVID-19'!AC28</f>
        <v>16.028209999999998</v>
      </c>
      <c r="R521">
        <f>'B3 - COVID-19'!AD28</f>
        <v>28.7</v>
      </c>
      <c r="S521">
        <f>'B3 - COVID-19'!AF28</f>
        <v>347.35885999999999</v>
      </c>
      <c r="U521">
        <f t="shared" si="23"/>
        <v>347.35885999999999</v>
      </c>
    </row>
    <row r="522" spans="1:21">
      <c r="A522" s="2894" t="str">
        <f>ORG!$S$1</f>
        <v>Feb 24</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1.85625</v>
      </c>
      <c r="L522">
        <f>'B3 - COVID-19'!X29</f>
        <v>2.8786400000000003</v>
      </c>
      <c r="M522">
        <f>'B3 - COVID-19'!Y29</f>
        <v>3.3289899999999997</v>
      </c>
      <c r="N522">
        <f>'B3 - COVID-19'!Z29</f>
        <v>5.9004000000000003</v>
      </c>
      <c r="O522">
        <f>'B3 - COVID-19'!AA29</f>
        <v>13.109150000000001</v>
      </c>
      <c r="P522">
        <f>'B3 - COVID-19'!AB29</f>
        <v>30.372779999999999</v>
      </c>
      <c r="Q522">
        <f>'B3 - COVID-19'!AC29</f>
        <v>17.958880000000001</v>
      </c>
      <c r="R522">
        <f>'B3 - COVID-19'!AD29</f>
        <v>36.25</v>
      </c>
      <c r="S522">
        <f>'B3 - COVID-19'!AF29</f>
        <v>116.07589</v>
      </c>
      <c r="U522">
        <f t="shared" si="23"/>
        <v>116.07589</v>
      </c>
    </row>
    <row r="523" spans="1:21">
      <c r="A523" s="2894" t="str">
        <f>ORG!$S$1</f>
        <v>Feb 24</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Pay_Tarian Development</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0</v>
      </c>
      <c r="Q523">
        <f>'B3 - COVID-19'!AC30</f>
        <v>0</v>
      </c>
      <c r="R523">
        <f>'B3 - COVID-19'!AD30</f>
        <v>104.88</v>
      </c>
      <c r="S523">
        <f>'B3 - COVID-19'!AF30</f>
        <v>104.88</v>
      </c>
      <c r="U523">
        <f t="shared" si="23"/>
        <v>104.88</v>
      </c>
    </row>
    <row r="524" spans="1:21">
      <c r="A524" s="2894" t="str">
        <f>ORG!$S$1</f>
        <v>Feb 24</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Pay_HP Team Covid-19</v>
      </c>
      <c r="G524">
        <f>'B3 - COVID-19'!S31</f>
        <v>0</v>
      </c>
      <c r="H524">
        <f>'B3 - COVID-19'!T31</f>
        <v>0</v>
      </c>
      <c r="I524">
        <f>'B3 - COVID-19'!U31</f>
        <v>1.7000000000000001E-4</v>
      </c>
      <c r="J524">
        <f>'B3 - COVID-19'!V31</f>
        <v>0</v>
      </c>
      <c r="K524">
        <f>'B3 - COVID-19'!W31</f>
        <v>0</v>
      </c>
      <c r="L524">
        <f>'B3 - COVID-19'!X31</f>
        <v>0</v>
      </c>
      <c r="M524">
        <f>'B3 - COVID-19'!Y31</f>
        <v>0</v>
      </c>
      <c r="N524">
        <f>'B3 - COVID-19'!Z31</f>
        <v>-3.3479999999999996E-2</v>
      </c>
      <c r="O524">
        <f>'B3 - COVID-19'!AA31</f>
        <v>0.39</v>
      </c>
      <c r="P524">
        <f>'B3 - COVID-19'!AB31</f>
        <v>0</v>
      </c>
      <c r="Q524">
        <f>'B3 - COVID-19'!AC31</f>
        <v>0</v>
      </c>
      <c r="R524">
        <f>'B3 - COVID-19'!AD31</f>
        <v>0</v>
      </c>
      <c r="S524">
        <f>'B3 - COVID-19'!AF31</f>
        <v>0.35669000000000001</v>
      </c>
      <c r="U524">
        <f t="shared" si="23"/>
        <v>0.35669000000000001</v>
      </c>
    </row>
    <row r="525" spans="1:21">
      <c r="A525" s="2894" t="str">
        <f>ORG!$S$1</f>
        <v>Feb 24</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Pay_Winter Communications Campaign</v>
      </c>
      <c r="G525">
        <f>'B3 - COVID-19'!S32</f>
        <v>0</v>
      </c>
      <c r="H525">
        <f>'B3 - COVID-19'!T32</f>
        <v>0</v>
      </c>
      <c r="I525">
        <f>'B3 - COVID-19'!U32</f>
        <v>0</v>
      </c>
      <c r="J525">
        <f>'B3 - COVID-19'!V32</f>
        <v>0</v>
      </c>
      <c r="K525">
        <f>'B3 - COVID-19'!W32</f>
        <v>0</v>
      </c>
      <c r="L525">
        <f>'B3 - COVID-19'!X32</f>
        <v>0</v>
      </c>
      <c r="M525">
        <f>'B3 - COVID-19'!Y32</f>
        <v>0</v>
      </c>
      <c r="N525">
        <f>'B3 - COVID-19'!Z32</f>
        <v>0</v>
      </c>
      <c r="O525">
        <f>'B3 - COVID-19'!AA32</f>
        <v>1.1279999999999999</v>
      </c>
      <c r="P525">
        <f>'B3 - COVID-19'!AB32</f>
        <v>8.7455999999999996</v>
      </c>
      <c r="Q525">
        <f>'B3 - COVID-19'!AC32</f>
        <v>0</v>
      </c>
      <c r="R525">
        <f>'B3 - COVID-19'!AD32</f>
        <v>96</v>
      </c>
      <c r="S525">
        <f>'B3 - COVID-19'!AF32</f>
        <v>105.8736</v>
      </c>
      <c r="U525">
        <f t="shared" si="23"/>
        <v>105.8736</v>
      </c>
    </row>
    <row r="526" spans="1:21">
      <c r="A526" s="2894" t="str">
        <f>ORG!$S$1</f>
        <v>Feb 24</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Feb 24</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832.78728000000012</v>
      </c>
      <c r="L527">
        <f>'B3 - COVID-19'!X34</f>
        <v>668.40530000000012</v>
      </c>
      <c r="M527">
        <f>'B3 - COVID-19'!Y34</f>
        <v>996.61832000000015</v>
      </c>
      <c r="N527">
        <f>'B3 - COVID-19'!Z34</f>
        <v>650.01325999999995</v>
      </c>
      <c r="O527">
        <f>'B3 - COVID-19'!AA34</f>
        <v>846.13830999999993</v>
      </c>
      <c r="P527">
        <f>'B3 - COVID-19'!AB34</f>
        <v>848.50055999999995</v>
      </c>
      <c r="Q527">
        <f>'B3 - COVID-19'!AC34</f>
        <v>774.53838999999982</v>
      </c>
      <c r="R527">
        <f>'B3 - COVID-19'!AD34</f>
        <v>1040.11833</v>
      </c>
      <c r="S527">
        <f>'B3 - COVID-19'!AF34</f>
        <v>9765.6396900000018</v>
      </c>
      <c r="U527">
        <f t="shared" si="23"/>
        <v>9765.6396900000018</v>
      </c>
    </row>
    <row r="528" spans="1:21">
      <c r="A528" s="2894" t="str">
        <f>ORG!$S$1</f>
        <v>Feb 24</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Feb 24</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Feb 24</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Feb 24</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Feb 24</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Feb 24</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Feb 24</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Feb 24</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Feb 24</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Feb 24</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Feb 24</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Feb 24</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Feb 24</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Feb 24</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Feb 24</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Feb 24</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Feb 24</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Feb 24</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Feb 24</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Feb 24</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Feb 24</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Feb 24</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Feb 24</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Feb 24</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Feb 24</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Feb 24</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Feb 24</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Feb 24</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Feb 24</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Feb 24</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Feb 24</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Feb 24</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Feb 24</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Feb 24</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Feb 24</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Feb 24</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Feb 24</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Feb 24</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Feb 24</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Feb 24</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Feb 24</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Feb 24</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Feb 24</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Feb 24</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Feb 24</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Feb 24</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Feb 24</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Feb 24</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Feb 24</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Feb 24</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Feb 24</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Feb 24</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Feb 24</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Feb 24</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Feb 24</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Feb 24</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Feb 24</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Feb 24</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Feb 24</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Feb 24</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Feb 24</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Feb 24</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Feb 24</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Feb 24</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Feb 24</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Feb 24</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Feb 24</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Feb 24</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Feb 24</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Feb 24</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Feb 24</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Feb 24</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Feb 24</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Feb 24</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Feb 24</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Feb 24</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Feb 24</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Feb 24</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Feb 24</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2998.5833333333326</v>
      </c>
      <c r="U606">
        <f t="shared" si="29"/>
        <v>2998.5833333333326</v>
      </c>
    </row>
    <row r="607" spans="1:21">
      <c r="A607" s="2894" t="str">
        <f>ORG!$S$1</f>
        <v>Feb 24</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2998.5833333333326</v>
      </c>
      <c r="U607">
        <f t="shared" si="29"/>
        <v>2998.5833333333326</v>
      </c>
    </row>
    <row r="608" spans="1:21">
      <c r="A608" s="2894" t="str">
        <f>ORG!$S$1</f>
        <v>Feb 24</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Feb 24</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Feb 24</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Feb 24</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Feb 24</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2998.5833333333326</v>
      </c>
      <c r="U612">
        <f t="shared" si="29"/>
        <v>2998.5833333333326</v>
      </c>
    </row>
    <row r="613" spans="1:21">
      <c r="A613" s="2894" t="str">
        <f>ORG!$S$1</f>
        <v>Feb 24</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2998.5833333333326</v>
      </c>
      <c r="U613">
        <f t="shared" si="29"/>
        <v>2998.5833333333326</v>
      </c>
    </row>
    <row r="614" spans="1:21">
      <c r="A614" s="2894" t="str">
        <f>ORG!$S$1</f>
        <v>Feb 24</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Feb 24</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Feb 24</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Feb 24</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Feb 24</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Feb 24</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Feb 24</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Feb 24</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Feb 24</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Feb 24</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Feb 24</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Feb 24</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556</v>
      </c>
      <c r="U625">
        <f t="shared" si="29"/>
        <v>556</v>
      </c>
    </row>
    <row r="626" spans="1:21">
      <c r="A626" s="2894" t="str">
        <f>ORG!$S$1</f>
        <v>Feb 24</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Feb 24</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Feb 24</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Feb 24</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2048</v>
      </c>
      <c r="U629">
        <f t="shared" si="29"/>
        <v>2048</v>
      </c>
    </row>
    <row r="630" spans="1:21">
      <c r="A630" s="2894" t="str">
        <f>ORG!$S$1</f>
        <v>Feb 24</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Feb 24</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28924</v>
      </c>
      <c r="U631">
        <f t="shared" si="29"/>
        <v>28924</v>
      </c>
    </row>
    <row r="632" spans="1:21">
      <c r="A632" s="2894" t="str">
        <f>ORG!$S$1</f>
        <v>Feb 24</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Feb 24</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Feb 24</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Feb 24</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Feb 24</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Feb 24</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Feb 24</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Feb 24</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Feb 24</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Feb 24</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Feb 24</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2246</v>
      </c>
      <c r="U642">
        <f t="shared" si="29"/>
        <v>2246</v>
      </c>
    </row>
    <row r="643" spans="1:21">
      <c r="A643" s="2894" t="str">
        <f>ORG!$S$1</f>
        <v>Feb 24</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Feb 24</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0</v>
      </c>
      <c r="U644">
        <f t="shared" si="29"/>
        <v>0</v>
      </c>
    </row>
    <row r="645" spans="1:21">
      <c r="A645" s="2894" t="str">
        <f>ORG!$S$1</f>
        <v>Feb 24</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Feb 24</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Feb 24</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Feb 24</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40008</v>
      </c>
      <c r="U648">
        <f t="shared" si="29"/>
        <v>40008</v>
      </c>
    </row>
    <row r="649" spans="1:21">
      <c r="A649" s="2894" t="str">
        <f>ORG!$S$1</f>
        <v>Feb 24</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Feb 24</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Feb 24</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Feb 24</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Feb 24</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Feb 24</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Feb 24</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Feb 24</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Feb 24</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Feb 24</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Feb 24</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Feb 24</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Feb 24</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Feb 24</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Feb 24</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Feb 24</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Feb 24</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Feb 24</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Feb 24</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Feb 24</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Feb 24</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Feb 24</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Feb 24</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Feb 24</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Feb 24</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Feb 24</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Feb 24</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Feb 24</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Feb 24</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Feb 24</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Feb 24</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Feb 24</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Feb 24</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Feb 24</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Feb 24</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Feb 24</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Feb 24</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Feb 24</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Feb 24</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Feb 24</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Feb 24</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Feb 24</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Feb 24</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Feb 24</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Feb 24</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Feb 24</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Feb 24</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Feb 24</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Feb 24</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Feb 24</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Feb 24</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Feb 24</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Feb 24</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Feb 24</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Feb 24</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Feb 24</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Feb 24</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Feb 24</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Feb 24</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Feb 24</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Feb 24</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Feb 24</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Feb 24</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Feb 24</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Feb 24</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Feb 24</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Feb 24</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Feb 24</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Feb 24</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Feb 24</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Feb 24</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Feb 24</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Feb 24</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Feb 24</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Feb 24</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Feb 24</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Feb 24</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Feb 24</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Feb 24</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Feb 24</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Feb 24</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Feb 24</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Feb 24</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Feb 24</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Feb 24</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Feb 24</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Feb 24</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Feb 24</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Feb 24</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Feb 24</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Feb 24</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Feb 24</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Feb 24</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Feb 24</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Feb 24</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Feb 24</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Feb 24</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Feb 24</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Feb 24</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Feb 24</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Feb 24</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Feb 24</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Feb 24</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Feb 24</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Feb 24</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Feb 24</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Feb 24</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Feb 24</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Feb 24</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Feb 24</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Feb 24</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Feb 24</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Feb 24</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Feb 24</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Feb 24</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Feb 24</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Feb 24</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Feb 24</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Feb 24</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Feb 24</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Feb 24</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Feb 24</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Feb 24</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Feb 24</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Feb 24</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Feb 24</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Feb 24</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Feb 24</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Feb 24</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Feb 24</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Feb 24</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Feb 24</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Feb 24</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Feb 24</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Feb 24</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Feb 24</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Feb 24</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Feb 24</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Feb 24</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Feb 24</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Feb 24</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Feb 24</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Feb 24</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Feb 24</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Feb 24</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Feb 24</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Feb 24</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Feb 24</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Feb 24</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Feb 24</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Feb 24</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Feb 24</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Feb 24</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Feb 24</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Feb 24</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Feb 24</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Feb 24</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Feb 24</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Feb 24</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Feb 24</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Feb 24</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Feb 24</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Feb 24</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Feb 24</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Feb 24</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Feb 24</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Feb 24</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Feb 24</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Feb 24</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Feb 24</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Feb 24</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Feb 24</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Feb 24</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Feb 24</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Feb 24</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Feb 24</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Feb 24</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Feb 24</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Feb 24</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Feb 24</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Feb 24</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Feb 24</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Feb 24</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Feb 24</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Feb 24</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Feb 24</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Feb 24</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Feb 24</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Feb 24</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Feb 24</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Feb 24</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Feb 24</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Feb 24</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Feb 24</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Feb 24</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Feb 24</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Feb 24</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Feb 24</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Feb 24</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Feb 24</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Feb 24</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Feb 24</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Feb 24</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Feb 24</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Feb 24</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Feb 24</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Feb 24</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Feb 24</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Feb 24</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Feb 24</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Feb 24</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Feb 24</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Feb 24</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Feb 24</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Feb 24</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Feb 24</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Feb 24</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Feb 24</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Feb 24</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Feb 24</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Feb 24</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Feb 24</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Feb 24</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Feb 24</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Feb 24</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Feb 24</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Feb 24</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Feb 24</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Feb 24</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Feb 24</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Feb 24</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Feb 24</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Feb 24</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Feb 24</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Feb 24</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Feb 24</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Feb 24</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Feb 24</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Feb 24</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Feb 24</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Feb 24</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Feb 24</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Feb 24</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Feb 24</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Feb 24</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Feb 24</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Feb 24</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Feb 24</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Feb 24</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Feb 24</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Feb 24</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Feb 24</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Feb 24</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Feb 24</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Feb 24</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Feb 24</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Feb 24</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Feb 24</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Feb 24</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Feb 24</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Feb 24</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Feb 24</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Feb 24</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Feb 24</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Feb 24</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Feb 24</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Feb 24</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Feb 24</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Feb 24</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Feb 24</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Feb 24</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Feb 24</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Feb 24</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Feb 24</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Feb 24</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Feb 24</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Feb 24</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Feb 24</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Feb 24</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Feb 24</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Feb 24</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Feb 24</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Feb 24</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Feb 24</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Feb 24</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Feb 24</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Feb 24</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Feb 24</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Feb 24</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Feb 24</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Feb 24</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Feb 24</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Feb 24</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Feb 24</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Feb 24</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Feb 24</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Feb 24</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Feb 24</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Feb 24</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Feb 24</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Feb 24</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Feb 24</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Feb 24</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Feb 24</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Feb 24</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Feb 24</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Feb 24</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Feb 24</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Feb 24</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Feb 24</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Feb 24</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Feb 24</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Feb 24</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Feb 24</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Feb 24</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Feb 24</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Feb 24</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Feb 24</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Feb 24</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Feb 24</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Feb 24</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Feb 24</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Feb 24</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Feb 24</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Feb 24</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Feb 24</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Feb 24</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Feb 24</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Feb 24</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Feb 24</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Feb 24</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Feb 24</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Feb 24</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Feb 24</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Feb 24</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Feb 24</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Feb 24</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Feb 24</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Feb 24</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Feb 24</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Feb 24</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Feb 24</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Feb 24</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Feb 24</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Feb 24</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Feb 24</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Feb 24</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Feb 24</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Feb 24</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Feb 24</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Feb 24</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Feb 24</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Feb 24</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Feb 24</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Feb 24</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Feb 24</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Feb 24</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Feb 24</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Feb 24</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Feb 24</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Feb 24</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Feb 24</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Feb 24</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Feb 24</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Feb 24</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Feb 24</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Feb 24</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Feb 24</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Feb 24</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Feb 24</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Feb 24</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Feb 24</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Feb 24</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Feb 24</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Feb 24</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Feb 24</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Feb 24</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Feb 24</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Feb 24</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Feb 24</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Feb 24</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Feb 24</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Feb 24</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Feb 24</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Feb 24</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Feb 24</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Feb 24</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Feb 24</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Feb 24</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Feb 24</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Feb 24</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Feb 24</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Feb 24</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Feb 24</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Feb 24</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Feb 24</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Feb 24</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Feb 24</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Feb 24</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Feb 24</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Feb 24</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Feb 24</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Feb 24</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Feb 24</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Feb 24</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Feb 24</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Feb 24</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Feb 24</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Feb 24</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Feb 24</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Feb 24</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Feb 24</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Feb 24</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Feb 24</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Feb 24</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Feb 24</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Feb 24</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Feb 24</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Feb 24</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Feb 24</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Feb 24</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Feb 24</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Feb 24</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Feb 24</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Feb 24</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Feb 24</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Feb 24</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Feb 24</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Feb 24</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Feb 24</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Feb 24</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Feb 24</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Feb 24</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Feb 24</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Feb 24</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Feb 24</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Feb 24</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Feb 24</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Feb 24</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Feb 24</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Feb 24</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Feb 24</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Feb 24</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Feb 24</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Feb 24</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Feb 24</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Feb 24</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Feb 24</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Feb 24</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Feb 24</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Feb 24</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Feb 24</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Feb 24</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Feb 24</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Feb 24</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Feb 24</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Feb 24</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Feb 24</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Feb 24</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Feb 24</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Feb 24</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Feb 24</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Feb 24</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Feb 24</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Feb 24</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Feb 24</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Feb 24</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Feb 24</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Feb 24</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Feb 24</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Feb 24</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Feb 24</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Feb 24</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Feb 24</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Feb 24</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Feb 24</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Feb 24</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Feb 24</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Feb 24</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Feb 24</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Feb 24</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Feb 24</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Feb 24</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Feb 24</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Feb 24</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Feb 24</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Feb 24</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Feb 24</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Feb 24</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Feb 24</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Feb 24</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Feb 24</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Feb 24</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Feb 24</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Feb 24</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Feb 24</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Feb 24</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Feb 24</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Feb 24</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Feb 24</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Feb 24</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Feb 24</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Feb 24</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Feb 24</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Feb 24</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Feb 24</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Feb 24</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Feb 24</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Feb 24</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Feb 24</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Feb 24</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Feb 24</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Feb 24</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Feb 24</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Feb 24</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Feb 24</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Feb 24</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Feb 24</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Feb 24</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Feb 24</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Feb 24</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Feb 24</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Feb 24</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Feb 24</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Feb 24</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Feb 24</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Feb 24</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Feb 24</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Feb 24</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Feb 24</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Feb 24</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Feb 24</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Feb 24</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Feb 24</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Feb 24</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Feb 24</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Feb 24</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Feb 24</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Feb 24</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Feb 24</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Feb 24</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Feb 24</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Feb 24</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Feb 24</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Feb 24</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Feb 24</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Feb 24</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Feb 24</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Feb 24</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Feb 24</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Feb 24</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Feb 24</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Feb 24</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Feb 24</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Feb 24</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Feb 24</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Feb 24</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Feb 24</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Feb 24</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Feb 24</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Feb 24</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Feb 24</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Feb 24</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Feb 24</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Feb 24</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Feb 24</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Feb 24</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Feb 24</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Feb 24</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Feb 24</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Feb 24</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Feb 24</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Feb 24</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Feb 24</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Feb 24</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Feb 24</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Feb 24</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Feb 24</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Feb 24</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Feb 24</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Feb 24</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Feb 24</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Feb 24</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Feb 24</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Feb 24</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Feb 24</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Feb 24</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Feb 24</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Feb 24</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Feb 24</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Feb 24</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Feb 24</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Feb 24</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Feb 24</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Feb 24</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Feb 24</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Feb 24</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Feb 24</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Feb 24</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Feb 24</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Feb 24</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Feb 24</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Feb 24</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Feb 24</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Feb 24</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Feb 24</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Feb 24</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Feb 24</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Feb 24</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Feb 24</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Feb 24</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Feb 24</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Feb 24</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Feb 24</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Feb 24</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Feb 24</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Feb 24</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Feb 24</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Feb 24</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Feb 24</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Feb 24</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Feb 24</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Feb 24</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Feb 24</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Feb 24</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Feb 24</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Feb 24</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Feb 24</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Feb 24</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Feb 24</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Feb 24</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Feb 24</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Feb 24</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Feb 24</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Feb 24</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Feb 24</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Feb 24</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Feb 24</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Feb 24</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Feb 24</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Feb 24</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Feb 24</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Feb 24</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Feb 24</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Feb 24</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Feb 24</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Feb 24</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Feb 24</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Feb 24</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Feb 24</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Feb 24</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Feb 24</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Feb 24</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Feb 24</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Feb 24</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Feb 24</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Feb 24</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Feb 24</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Feb 24</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Feb 24</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Feb 24</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Feb 24</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Feb 24</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Feb 24</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Feb 24</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Feb 24</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Feb 24</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Feb 24</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Feb 24</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Feb 24</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Feb 24</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218998.05074666665</v>
      </c>
      <c r="U1319">
        <f t="shared" si="32"/>
        <v>218998.05074666665</v>
      </c>
    </row>
    <row r="1320" spans="1:21">
      <c r="A1320" s="2894" t="str">
        <f>ORG!$S$1</f>
        <v>Feb 24</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1398</v>
      </c>
      <c r="U1320">
        <f t="shared" si="32"/>
        <v>1398</v>
      </c>
    </row>
    <row r="1321" spans="1:21">
      <c r="A1321" s="2894" t="str">
        <f>ORG!$S$1</f>
        <v>Feb 24</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Feb 24</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Feb 24</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Feb 24</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0</v>
      </c>
      <c r="U1324">
        <f t="shared" si="32"/>
        <v>0</v>
      </c>
    </row>
    <row r="1325" spans="1:21">
      <c r="A1325" s="2894" t="str">
        <f>ORG!$S$1</f>
        <v>Feb 24</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Feb 24</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Feb 24</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2245.6109999999999</v>
      </c>
      <c r="U1327">
        <f t="shared" si="32"/>
        <v>2245.6109999999999</v>
      </c>
    </row>
    <row r="1328" spans="1:21">
      <c r="A1328" s="2894" t="str">
        <f>ORG!$S$1</f>
        <v>Feb 24</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-1766</v>
      </c>
      <c r="U1328">
        <f t="shared" si="32"/>
        <v>-1766</v>
      </c>
    </row>
    <row r="1329" spans="1:21">
      <c r="A1329" s="2894" t="str">
        <f>ORG!$S$1</f>
        <v>Feb 24</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Feb 24</v>
      </c>
      <c r="B1330" t="str">
        <f>ORG!$M$1</f>
        <v>Public Health Wales Trust</v>
      </c>
      <c r="C1330" t="str">
        <f>'E1 - Invoiced Income'!$A$7</f>
        <v>Table E1 -  Invoiced Income Streams - TRUSTS ONLY</v>
      </c>
      <c r="D1330" s="2897">
        <f>'E1 - Invoiced Income'!A25</f>
        <v>14</v>
      </c>
      <c r="E1330" s="2896" t="str">
        <f>'E1 - Invoiced Income'!B25</f>
        <v>2022-23 1.5% Consolidated pay award (actuals to date plus forecast for remainder of year)</v>
      </c>
      <c r="S1330">
        <f>'E1 - Invoiced Income'!T25</f>
        <v>1533</v>
      </c>
      <c r="U1330">
        <f t="shared" si="32"/>
        <v>1533</v>
      </c>
    </row>
    <row r="1331" spans="1:21">
      <c r="A1331" s="2894" t="str">
        <f>ORG!$S$1</f>
        <v>Feb 24</v>
      </c>
      <c r="B1331" t="str">
        <f>ORG!$M$1</f>
        <v>Public Health Wales Trust</v>
      </c>
      <c r="C1331" t="str">
        <f>'E1 - Invoiced Income'!$A$7</f>
        <v>Table E1 -  Invoiced Income Streams - TRUSTS ONLY</v>
      </c>
      <c r="D1331" s="2897">
        <f>'E1 - Invoiced Income'!A26</f>
        <v>15</v>
      </c>
      <c r="E1331" s="2896" t="str">
        <f>'E1 - Invoiced Income'!B26</f>
        <v>2023-24 5% pay award (actuals to date plus forecast for remainder of year)</v>
      </c>
      <c r="S1331">
        <f>'E1 - Invoiced Income'!T26</f>
        <v>4937</v>
      </c>
      <c r="U1331">
        <f t="shared" si="32"/>
        <v>4937</v>
      </c>
    </row>
    <row r="1332" spans="1:21">
      <c r="A1332" s="2894" t="str">
        <f>ORG!$S$1</f>
        <v>Feb 24</v>
      </c>
      <c r="B1332" t="str">
        <f>ORG!$M$1</f>
        <v>Public Health Wales Trust</v>
      </c>
      <c r="C1332" t="str">
        <f>'E1 - Invoiced Income'!$A$7</f>
        <v>Table E1 -  Invoiced Income Streams - TRUSTS ONLY</v>
      </c>
      <c r="D1332" s="2897">
        <f>'E1 - Invoiced Income'!A27</f>
        <v>16</v>
      </c>
      <c r="E1332" s="2896" t="str">
        <f>'E1 - Invoiced Income'!B27</f>
        <v>2023-24 M&amp;D 5% pay award (actuals to date plus forecast for remainder of year)</v>
      </c>
      <c r="S1332">
        <f>'E1 - Invoiced Income'!T27</f>
        <v>438</v>
      </c>
      <c r="U1332">
        <f t="shared" si="32"/>
        <v>438</v>
      </c>
    </row>
    <row r="1333" spans="1:21">
      <c r="A1333" s="2894" t="str">
        <f>ORG!$S$1</f>
        <v>Feb 24</v>
      </c>
      <c r="B1333" t="str">
        <f>ORG!$M$1</f>
        <v>Public Health Wales Trust</v>
      </c>
      <c r="C1333" t="str">
        <f>'E1 - Invoiced Income'!$A$7</f>
        <v>Table E1 -  Invoiced Income Streams - TRUSTS ONLY</v>
      </c>
      <c r="D1333" s="2897">
        <f>'E1 - Invoiced Income'!A28</f>
        <v>17</v>
      </c>
      <c r="E1333" s="2896">
        <f>'E1 - Invoiced Income'!B28</f>
        <v>0</v>
      </c>
      <c r="S1333">
        <f>'E1 - Invoiced Income'!T28</f>
        <v>0</v>
      </c>
      <c r="U1333">
        <f t="shared" si="32"/>
        <v>0</v>
      </c>
    </row>
    <row r="1334" spans="1:21">
      <c r="A1334" s="2894" t="str">
        <f>ORG!$S$1</f>
        <v>Feb 24</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Feb 24</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Feb 24</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Feb 24</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Feb 24</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Feb 24</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Feb 24</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Feb 24</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Feb 24</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Feb 24</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Feb 24</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Feb 24</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Feb 24</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Feb 24</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Feb 24</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Feb 24</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Feb 24</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Feb 24</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Feb 24</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Feb 24</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228190.66174666665</v>
      </c>
      <c r="U1353">
        <f t="shared" si="32"/>
        <v>228190.66174666665</v>
      </c>
    </row>
    <row r="1354" spans="1:21">
      <c r="A1354" s="2894" t="str">
        <f>ORG!$S$1</f>
        <v>Feb 24</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8652.1980000000003</v>
      </c>
      <c r="U1354">
        <f t="shared" si="32"/>
        <v>8652.1980000000003</v>
      </c>
    </row>
    <row r="1355" spans="1:21">
      <c r="A1355" s="2894" t="str">
        <f>ORG!$S$1</f>
        <v>Feb 24</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983.15800000000002</v>
      </c>
      <c r="U1355">
        <f t="shared" si="32"/>
        <v>983.15800000000002</v>
      </c>
    </row>
    <row r="1356" spans="1:21">
      <c r="A1356" s="2894" t="str">
        <f>ORG!$S$1</f>
        <v>Feb 24</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Feb 24</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Feb 24</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Feb 24</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Feb 24</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Feb 24</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Feb 24</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Feb 24</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Feb 24</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Feb 24</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Feb 24</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Feb 24</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Feb 24</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Feb 24</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Feb 24</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Feb 24</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Feb 24</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Feb 24</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Feb 24</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Feb 24</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Feb 24</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Feb 24</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Feb 24</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Feb 24</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Feb 24</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Feb 24</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Feb 24</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Feb 24</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Feb 24</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9635.3559999999998</v>
      </c>
      <c r="U1384">
        <f t="shared" si="32"/>
        <v>9635.3559999999998</v>
      </c>
    </row>
    <row r="1385" spans="1:21">
      <c r="A1385" s="2894" t="str">
        <f>ORG!$S$1</f>
        <v>Feb 24</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1991.6659999999999</v>
      </c>
      <c r="U1385">
        <f t="shared" ref="U1385:U1415" si="381">S1385+T1385</f>
        <v>1991.6659999999999</v>
      </c>
    </row>
    <row r="1386" spans="1:21">
      <c r="A1386" s="2894" t="str">
        <f>ORG!$S$1</f>
        <v>Feb 24</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253.94499999999999</v>
      </c>
      <c r="U1386">
        <f t="shared" si="381"/>
        <v>253.94499999999999</v>
      </c>
    </row>
    <row r="1387" spans="1:21">
      <c r="A1387" s="2894" t="str">
        <f>ORG!$S$1</f>
        <v>Feb 24</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Feb 24</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Feb 24</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Feb 24</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Feb 24</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Feb 24</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Feb 24</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Feb 24</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Feb 24</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Feb 24</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Feb 24</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Feb 24</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Feb 24</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Feb 24</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Feb 24</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Feb 24</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Feb 24</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Feb 24</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Feb 24</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Feb 24</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Feb 24</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Feb 24</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Feb 24</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Feb 24</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Feb 24</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Feb 24</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Feb 24</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Feb 24</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Feb 24</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2245.6109999999999</v>
      </c>
      <c r="U1415">
        <f t="shared" si="381"/>
        <v>2245.6109999999999</v>
      </c>
    </row>
    <row r="1416" spans="1:21">
      <c r="A1416" s="2894" t="str">
        <f>ORG!$S$1</f>
        <v>Feb 24</v>
      </c>
      <c r="B1416" t="str">
        <f>ORG!$M$1</f>
        <v>Public Health Wales Trust</v>
      </c>
      <c r="C1416" t="s">
        <v>910</v>
      </c>
      <c r="D1416" s="2897">
        <f>'I - Capital RLM'!$A$129</f>
        <v>92</v>
      </c>
      <c r="E1416" s="2897" t="str">
        <f>'I - Capital RLM'!$B$129</f>
        <v xml:space="preserve">CHARGE AGAINST CRL / CEL  </v>
      </c>
      <c r="F1416" t="s">
        <v>1359</v>
      </c>
      <c r="S1416">
        <f>'I - Capital RLM'!C129</f>
        <v>1814.2034800000001</v>
      </c>
    </row>
    <row r="1417" spans="1:21">
      <c r="A1417" s="2894" t="str">
        <f>ORG!$S$1</f>
        <v>Feb 24</v>
      </c>
      <c r="B1417" t="str">
        <f>ORG!$M$1</f>
        <v>Public Health Wales Trust</v>
      </c>
      <c r="C1417" t="s">
        <v>910</v>
      </c>
      <c r="D1417" s="2897">
        <f>'I - Capital RLM'!$A$129</f>
        <v>92</v>
      </c>
      <c r="E1417" s="2897" t="str">
        <f>'I - Capital RLM'!$B$129</f>
        <v xml:space="preserve">CHARGE AGAINST CRL / CEL  </v>
      </c>
      <c r="F1417" t="s">
        <v>1360</v>
      </c>
      <c r="S1417">
        <f>'I - Capital RLM'!D129</f>
        <v>1805.2034800000001</v>
      </c>
    </row>
    <row r="1418" spans="1:21">
      <c r="A1418" s="2894" t="str">
        <f>ORG!$S$1</f>
        <v>Feb 24</v>
      </c>
      <c r="B1418" t="str">
        <f>ORG!$M$1</f>
        <v>Public Health Wales Trust</v>
      </c>
      <c r="C1418" t="s">
        <v>910</v>
      </c>
      <c r="D1418" s="2897">
        <f>'I - Capital RLM'!$A$129</f>
        <v>92</v>
      </c>
      <c r="E1418" s="2897" t="str">
        <f>'I - Capital RLM'!$B$129</f>
        <v xml:space="preserve">CHARGE AGAINST CRL / CEL  </v>
      </c>
      <c r="F1418" t="s">
        <v>1361</v>
      </c>
      <c r="S1418">
        <f>'I - Capital RLM'!G129</f>
        <v>3195.22552</v>
      </c>
    </row>
    <row r="1419" spans="1:21">
      <c r="A1419" s="2894" t="str">
        <f>ORG!$S$1</f>
        <v>Feb 24</v>
      </c>
      <c r="B1419" t="str">
        <f>ORG!$M$1</f>
        <v>Public Health Wales Trust</v>
      </c>
      <c r="C1419" t="s">
        <v>910</v>
      </c>
      <c r="D1419" s="2897">
        <f>'I - Capital RLM'!$A$129</f>
        <v>92</v>
      </c>
      <c r="E1419" s="2897" t="str">
        <f>'I - Capital RLM'!$B$129</f>
        <v xml:space="preserve">CHARGE AGAINST CRL / CEL  </v>
      </c>
      <c r="F1419" t="s">
        <v>1362</v>
      </c>
      <c r="S1419">
        <f>'I - Capital RLM'!H129</f>
        <v>3185.4227999999998</v>
      </c>
    </row>
    <row r="1420" spans="1:21">
      <c r="A1420" s="2894" t="str">
        <f>ORG!$S$1</f>
        <v>Feb 24</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Feb 24</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Feb 24</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Feb 24</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Feb 24</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Feb 24</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Feb 24</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Feb 24</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Feb 24</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Feb 24</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Feb 24</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Feb 24</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Feb 24</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Feb 24</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Feb 24</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Feb 24</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Feb 24</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Feb 24</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Feb 24</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Feb 24</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Feb 24</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Feb 24</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Feb 24</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Feb 24</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Feb 24</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Feb 24</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Feb 24</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Feb 24</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Feb 24</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Feb 24</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Feb 24</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Feb 24</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Feb 24</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Feb 24</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Feb 24</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Feb 24</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Feb 24</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Feb 24</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Feb 24</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Feb 24</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Feb 24</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Feb 24</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Feb 24</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Feb 24</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Feb 24</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Feb 24</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Feb 24</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Feb 24</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Feb 24</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Feb 24</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Feb 24</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Feb 24</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Feb 24</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Feb 24</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Feb 24</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Feb 24</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Feb 24</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Feb 24</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Feb 24</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Feb 24</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Feb 24</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Feb 24</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Feb 24</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Feb 24</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Feb 24</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Feb 24</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Feb 24</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Feb 24</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Feb 24</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Feb 24</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Feb 24</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Feb 24</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Feb 24</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Feb 24</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Feb 24</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Feb 24</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Feb 24</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Feb 24</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Feb 24</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Feb 24</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Feb 24</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Feb 24</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Feb 24</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Feb 24</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Feb 24</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Feb 24</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Feb 24</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Feb 24</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Feb 24</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Feb 24</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Feb 24</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Feb 24</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Feb 24</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Feb 24</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Feb 24</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Feb 24</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Feb 24</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Feb 24</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Feb 24</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Feb 24</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Feb 24</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Feb 24</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Feb 24</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Feb 24</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Feb 24</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Feb 24</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Feb 24</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Feb 24</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Feb 24</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Feb 24</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Feb 24</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Feb 24</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Feb 24</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Feb 24</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Feb 24</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Feb 24</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Feb 24</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Feb 24</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Feb 24</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Feb 24</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Feb 24</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Feb 24</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Feb 24</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Feb 24</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Feb 24</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Feb 24</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Feb 24</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Feb 24</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Feb 24</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Feb 24</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Feb 24</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Feb 24</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Feb 24</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Feb 24</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Feb 24</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Feb 24</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Feb 24</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Feb 24</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Feb 24</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Feb 24</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Feb 24</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Feb 24</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Feb 24</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Feb 24</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Feb 24</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Feb 24</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Feb 24</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Feb 24</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Feb 24</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Feb 24</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Feb 24</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Feb 24</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Feb 24</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Feb 24</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Feb 24</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Feb 24</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Feb 24</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Feb 24</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Feb 24</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Feb 24</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Feb 24</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Feb 24</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Feb 24</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Feb 24</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Feb 24</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Feb 24</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Feb 24</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Feb 24</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Feb 24</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Feb 24</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Feb 24</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Feb 24</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Feb 24</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Feb 24</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Feb 24</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Feb 24</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Feb 24</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Feb 24</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Feb 24</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Feb 24</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Feb 24</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Feb 24</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Feb 24</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Feb 24</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Feb 24</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Feb 24</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Feb 24</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Feb 24</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Feb 24</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Feb 24</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Feb 24</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Feb 24</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Feb 24</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Feb 24</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Feb 24</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Feb 24</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Feb 24</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Feb 24</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Feb 24</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Feb 24</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Feb 24</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250</v>
      </c>
      <c r="R1620">
        <f>'B1 - SOCNE SOCNI Movement'!O11</f>
        <v>0</v>
      </c>
      <c r="S1620">
        <f>'B1 - SOCNE SOCNI Movement'!P11</f>
        <v>250</v>
      </c>
      <c r="U1620">
        <f t="shared" si="395"/>
        <v>250</v>
      </c>
    </row>
    <row r="1621" spans="1:21">
      <c r="A1621" s="2894" t="str">
        <f>ORG!$S$1</f>
        <v>Feb 24</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0</v>
      </c>
      <c r="K1621">
        <f>'B1 - SOCNE SOCNI Movement'!H12</f>
        <v>0</v>
      </c>
      <c r="L1621">
        <f>'B1 - SOCNE SOCNI Movement'!I12</f>
        <v>0</v>
      </c>
      <c r="M1621">
        <f>'B1 - SOCNE SOCNI Movement'!J12</f>
        <v>0</v>
      </c>
      <c r="N1621">
        <f>'B1 - SOCNE SOCNI Movement'!K12</f>
        <v>0</v>
      </c>
      <c r="O1621">
        <f>'B1 - SOCNE SOCNI Movement'!L12</f>
        <v>0</v>
      </c>
      <c r="P1621">
        <f>'B1 - SOCNE SOCNI Movement'!M12</f>
        <v>0</v>
      </c>
      <c r="Q1621">
        <f>'B1 - SOCNE SOCNI Movement'!N12</f>
        <v>249</v>
      </c>
      <c r="R1621">
        <f>'B1 - SOCNE SOCNI Movement'!O12</f>
        <v>-2</v>
      </c>
      <c r="S1621">
        <f>'B1 - SOCNE SOCNI Movement'!P12</f>
        <v>247</v>
      </c>
      <c r="U1621">
        <f t="shared" si="395"/>
        <v>247</v>
      </c>
    </row>
    <row r="1622" spans="1:21">
      <c r="A1622" s="2894" t="str">
        <f>ORG!$S$1</f>
        <v>Feb 24</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0</v>
      </c>
      <c r="J1622">
        <f>'B1 - SOCNE SOCNI Movement'!G13</f>
        <v>0</v>
      </c>
      <c r="K1622">
        <f>'B1 - SOCNE SOCNI Movement'!H13</f>
        <v>0</v>
      </c>
      <c r="L1622">
        <f>'B1 - SOCNE SOCNI Movement'!I13</f>
        <v>0</v>
      </c>
      <c r="M1622">
        <f>'B1 - SOCNE SOCNI Movement'!J13</f>
        <v>0</v>
      </c>
      <c r="N1622">
        <f>'B1 - SOCNE SOCNI Movement'!K13</f>
        <v>0</v>
      </c>
      <c r="O1622">
        <f>'B1 - SOCNE SOCNI Movement'!L13</f>
        <v>0</v>
      </c>
      <c r="P1622">
        <f>'B1 - SOCNE SOCNI Movement'!M13</f>
        <v>0</v>
      </c>
      <c r="Q1622">
        <f>'B1 - SOCNE SOCNI Movement'!N13</f>
        <v>1</v>
      </c>
      <c r="R1622">
        <f>'B1 - SOCNE SOCNI Movement'!O13</f>
        <v>0</v>
      </c>
      <c r="S1622">
        <f>'B1 - SOCNE SOCNI Movement'!P13</f>
        <v>1</v>
      </c>
      <c r="U1622">
        <f t="shared" si="395"/>
        <v>1</v>
      </c>
    </row>
    <row r="1623" spans="1:21">
      <c r="A1623" s="2894" t="str">
        <f>ORG!$S$1</f>
        <v>Feb 24</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0</v>
      </c>
      <c r="K1623">
        <f>'B1 - SOCNE SOCNI Movement'!H14</f>
        <v>0</v>
      </c>
      <c r="L1623">
        <f>'B1 - SOCNE SOCNI Movement'!I14</f>
        <v>0</v>
      </c>
      <c r="M1623">
        <f>'B1 - SOCNE SOCNI Movement'!J14</f>
        <v>0</v>
      </c>
      <c r="N1623">
        <f>'B1 - SOCNE SOCNI Movement'!K14</f>
        <v>0</v>
      </c>
      <c r="O1623">
        <f>'B1 - SOCNE SOCNI Movement'!L14</f>
        <v>0</v>
      </c>
      <c r="P1623">
        <f>'B1 - SOCNE SOCNI Movement'!M14</f>
        <v>0</v>
      </c>
      <c r="Q1623">
        <f>'B1 - SOCNE SOCNI Movement'!N14</f>
        <v>-8842</v>
      </c>
      <c r="R1623">
        <f>'B1 - SOCNE SOCNI Movement'!O14</f>
        <v>1132.6617466666648</v>
      </c>
      <c r="S1623">
        <f>'B1 - SOCNE SOCNI Movement'!P14</f>
        <v>-7709.3382533333497</v>
      </c>
      <c r="U1623">
        <f t="shared" si="395"/>
        <v>-7709.3382533333497</v>
      </c>
    </row>
    <row r="1624" spans="1:21">
      <c r="A1624" s="2894" t="str">
        <f>ORG!$S$1</f>
        <v>Feb 24</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0</v>
      </c>
      <c r="K1624">
        <f>'B1 - SOCNE SOCNI Movement'!H15</f>
        <v>0</v>
      </c>
      <c r="L1624">
        <f>'B1 - SOCNE SOCNI Movement'!I15</f>
        <v>0</v>
      </c>
      <c r="M1624">
        <f>'B1 - SOCNE SOCNI Movement'!J15</f>
        <v>0</v>
      </c>
      <c r="N1624">
        <f>'B1 - SOCNE SOCNI Movement'!K15</f>
        <v>0</v>
      </c>
      <c r="O1624">
        <f>'B1 - SOCNE SOCNI Movement'!L15</f>
        <v>0</v>
      </c>
      <c r="P1624">
        <f>'B1 - SOCNE SOCNI Movement'!M15</f>
        <v>0</v>
      </c>
      <c r="Q1624">
        <f>'B1 - SOCNE SOCNI Movement'!N15</f>
        <v>15</v>
      </c>
      <c r="R1624">
        <f>'B1 - SOCNE SOCNI Movement'!O15</f>
        <v>-5</v>
      </c>
      <c r="S1624">
        <f>'B1 - SOCNE SOCNI Movement'!P15</f>
        <v>10</v>
      </c>
      <c r="U1624">
        <f t="shared" si="395"/>
        <v>10</v>
      </c>
    </row>
    <row r="1625" spans="1:21">
      <c r="A1625" s="2894" t="str">
        <f>ORG!$S$1</f>
        <v>Feb 24</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0</v>
      </c>
      <c r="J1625">
        <f>'B1 - SOCNE SOCNI Movement'!G16</f>
        <v>0</v>
      </c>
      <c r="K1625">
        <f>'B1 - SOCNE SOCNI Movement'!H16</f>
        <v>0</v>
      </c>
      <c r="L1625">
        <f>'B1 - SOCNE SOCNI Movement'!I16</f>
        <v>0</v>
      </c>
      <c r="M1625">
        <f>'B1 - SOCNE SOCNI Movement'!J16</f>
        <v>0</v>
      </c>
      <c r="N1625">
        <f>'B1 - SOCNE SOCNI Movement'!K16</f>
        <v>0</v>
      </c>
      <c r="O1625">
        <f>'B1 - SOCNE SOCNI Movement'!L16</f>
        <v>0</v>
      </c>
      <c r="P1625">
        <f>'B1 - SOCNE SOCNI Movement'!M16</f>
        <v>0</v>
      </c>
      <c r="Q1625">
        <f>'B1 - SOCNE SOCNI Movement'!N16</f>
        <v>-8327</v>
      </c>
      <c r="R1625">
        <f>'B1 - SOCNE SOCNI Movement'!O16</f>
        <v>1125.6617466666648</v>
      </c>
      <c r="S1625">
        <f>'B1 - SOCNE SOCNI Movement'!P16</f>
        <v>-7201.3382533333497</v>
      </c>
      <c r="U1625">
        <f t="shared" si="395"/>
        <v>-7201.3382533333497</v>
      </c>
    </row>
    <row r="1626" spans="1:21">
      <c r="A1626" s="2894" t="str">
        <f>ORG!$S$1</f>
        <v>Feb 24</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Feb 24</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Feb 24</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0</v>
      </c>
      <c r="K1628">
        <f>'B1 - SOCNE SOCNI Movement'!H19</f>
        <v>0</v>
      </c>
      <c r="L1628">
        <f>'B1 - SOCNE SOCNI Movement'!I19</f>
        <v>0</v>
      </c>
      <c r="M1628">
        <f>'B1 - SOCNE SOCNI Movement'!J19</f>
        <v>0</v>
      </c>
      <c r="N1628">
        <f>'B1 - SOCNE SOCNI Movement'!K19</f>
        <v>0</v>
      </c>
      <c r="O1628">
        <f>'B1 - SOCNE SOCNI Movement'!L19</f>
        <v>0</v>
      </c>
      <c r="P1628">
        <f>'B1 - SOCNE SOCNI Movement'!M19</f>
        <v>0</v>
      </c>
      <c r="Q1628">
        <f>'B1 - SOCNE SOCNI Movement'!N19</f>
        <v>-4146</v>
      </c>
      <c r="R1628">
        <f>'B1 - SOCNE SOCNI Movement'!O19</f>
        <v>-14.06258333333426</v>
      </c>
      <c r="S1628">
        <f>'B1 - SOCNE SOCNI Movement'!P19</f>
        <v>-4160.062583333347</v>
      </c>
      <c r="U1628">
        <f t="shared" si="395"/>
        <v>-4160.062583333347</v>
      </c>
    </row>
    <row r="1629" spans="1:21">
      <c r="A1629" s="2894" t="str">
        <f>ORG!$S$1</f>
        <v>Feb 24</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0</v>
      </c>
      <c r="J1629">
        <f>'B1 - SOCNE SOCNI Movement'!G20</f>
        <v>-0.17999999999938154</v>
      </c>
      <c r="K1629">
        <f>'B1 - SOCNE SOCNI Movement'!H20</f>
        <v>0.41000000000076398</v>
      </c>
      <c r="L1629">
        <f>'B1 - SOCNE SOCNI Movement'!I20</f>
        <v>0</v>
      </c>
      <c r="M1629">
        <f>'B1 - SOCNE SOCNI Movement'!J20</f>
        <v>0.11000000000058208</v>
      </c>
      <c r="N1629">
        <f>'B1 - SOCNE SOCNI Movement'!K20</f>
        <v>0</v>
      </c>
      <c r="O1629">
        <f>'B1 - SOCNE SOCNI Movement'!L20</f>
        <v>-3.9999999997235136E-2</v>
      </c>
      <c r="P1629">
        <f>'B1 - SOCNE SOCNI Movement'!M20</f>
        <v>-0.29000000000451109</v>
      </c>
      <c r="Q1629">
        <f>'B1 - SOCNE SOCNI Movement'!N20</f>
        <v>-4069.6199999999953</v>
      </c>
      <c r="R1629">
        <f>'B1 - SOCNE SOCNI Movement'!O20</f>
        <v>1039.304329999999</v>
      </c>
      <c r="S1629">
        <f>'B1 - SOCNE SOCNI Movement'!P20</f>
        <v>-3030.5956699999952</v>
      </c>
      <c r="U1629">
        <f t="shared" si="395"/>
        <v>-3030.5956699999952</v>
      </c>
    </row>
    <row r="1630" spans="1:21">
      <c r="A1630" s="2894" t="str">
        <f>ORG!$S$1</f>
        <v>Feb 24</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Feb 24</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Feb 24</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Feb 24</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Feb 24</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Feb 24</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Feb 24</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Feb 24</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Feb 24</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Feb 24</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Feb 24</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0.16999999999995907</v>
      </c>
      <c r="L1640">
        <f>'B1 - SOCNE SOCNI Movement'!I31</f>
        <v>0</v>
      </c>
      <c r="M1640">
        <f>'B1 - SOCNE SOCNI Movement'!J31</f>
        <v>0</v>
      </c>
      <c r="N1640">
        <f>'B1 - SOCNE SOCNI Movement'!K31</f>
        <v>0</v>
      </c>
      <c r="O1640">
        <f>'B1 - SOCNE SOCNI Movement'!L31</f>
        <v>-8.0000000000040927E-2</v>
      </c>
      <c r="P1640">
        <f>'B1 - SOCNE SOCNI Movement'!M31</f>
        <v>0.16999999999995907</v>
      </c>
      <c r="Q1640">
        <f>'B1 - SOCNE SOCNI Movement'!N31</f>
        <v>-149.5</v>
      </c>
      <c r="R1640">
        <f>'B1 - SOCNE SOCNI Movement'!O31</f>
        <v>140</v>
      </c>
      <c r="S1640">
        <f>'B1 - SOCNE SOCNI Movement'!P31</f>
        <v>-9.0799999999990177</v>
      </c>
      <c r="U1640">
        <f t="shared" si="395"/>
        <v>-9.0799999999990177</v>
      </c>
    </row>
    <row r="1641" spans="1:21">
      <c r="A1641" s="2894" t="str">
        <f>ORG!$S$1</f>
        <v>Feb 24</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0.42000000000000171</v>
      </c>
      <c r="L1641">
        <f>'B1 - SOCNE SOCNI Movement'!I32</f>
        <v>0</v>
      </c>
      <c r="M1641">
        <f>'B1 - SOCNE SOCNI Movement'!J32</f>
        <v>0</v>
      </c>
      <c r="N1641">
        <f>'B1 - SOCNE SOCNI Movement'!K32</f>
        <v>0</v>
      </c>
      <c r="O1641">
        <f>'B1 - SOCNE SOCNI Movement'!L32</f>
        <v>0.12000000000000099</v>
      </c>
      <c r="P1641">
        <f>'B1 - SOCNE SOCNI Movement'!M32</f>
        <v>0.12000000000000099</v>
      </c>
      <c r="Q1641">
        <f>'B1 - SOCNE SOCNI Movement'!N32</f>
        <v>0.12000000000000099</v>
      </c>
      <c r="R1641">
        <f>'B1 - SOCNE SOCNI Movement'!O32</f>
        <v>0.42000000000000171</v>
      </c>
      <c r="S1641">
        <f>'B1 - SOCNE SOCNI Movement'!P32</f>
        <v>1.3300000000000409</v>
      </c>
      <c r="U1641">
        <f t="shared" si="395"/>
        <v>1.3300000000000409</v>
      </c>
    </row>
    <row r="1642" spans="1:21">
      <c r="A1642" s="2894" t="str">
        <f>ORG!$S$1</f>
        <v>Feb 24</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Feb 24</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9.01</v>
      </c>
      <c r="O1643">
        <f>'B1 - SOCNE SOCNI Movement'!L34</f>
        <v>0</v>
      </c>
      <c r="P1643">
        <f>'B1 - SOCNE SOCNI Movement'!M34</f>
        <v>0</v>
      </c>
      <c r="Q1643">
        <f>'B1 - SOCNE SOCNI Movement'!N34</f>
        <v>0</v>
      </c>
      <c r="R1643">
        <f>'B1 - SOCNE SOCNI Movement'!O34</f>
        <v>0</v>
      </c>
      <c r="S1643">
        <f>'B1 - SOCNE SOCNI Movement'!P34</f>
        <v>9.01</v>
      </c>
      <c r="U1643">
        <f t="shared" si="395"/>
        <v>9.01</v>
      </c>
    </row>
    <row r="1644" spans="1:21">
      <c r="A1644" s="2894" t="str">
        <f>ORG!$S$1</f>
        <v>Feb 24</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0</v>
      </c>
      <c r="J1644">
        <f>'B1 - SOCNE SOCNI Movement'!G35</f>
        <v>-0.18000000000029104</v>
      </c>
      <c r="K1644">
        <f>'B1 - SOCNE SOCNI Movement'!H35</f>
        <v>0.99999999999636202</v>
      </c>
      <c r="L1644">
        <f>'B1 - SOCNE SOCNI Movement'!I35</f>
        <v>0</v>
      </c>
      <c r="M1644">
        <f>'B1 - SOCNE SOCNI Movement'!J35</f>
        <v>0.11000000000058208</v>
      </c>
      <c r="N1644">
        <f>'B1 - SOCNE SOCNI Movement'!K35</f>
        <v>9.0099999999983993</v>
      </c>
      <c r="O1644">
        <f>'B1 - SOCNE SOCNI Movement'!L35</f>
        <v>0</v>
      </c>
      <c r="P1644">
        <f>'B1 - SOCNE SOCNI Movement'!M35</f>
        <v>0</v>
      </c>
      <c r="Q1644">
        <f>'B1 - SOCNE SOCNI Movement'!N35</f>
        <v>-8364.9999999999945</v>
      </c>
      <c r="R1644">
        <f>'B1 - SOCNE SOCNI Movement'!O35</f>
        <v>1165.6617466666648</v>
      </c>
      <c r="S1644">
        <f>'B1 - SOCNE SOCNI Movement'!P35</f>
        <v>-7189.3982533333474</v>
      </c>
      <c r="U1644">
        <f t="shared" si="395"/>
        <v>-7189.3982533333474</v>
      </c>
    </row>
    <row r="1645" spans="1:21">
      <c r="A1645" s="2894" t="str">
        <f>ORG!$S$1</f>
        <v>Feb 24</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0</v>
      </c>
      <c r="J1645">
        <f>'B1 - SOCNE SOCNI Movement'!G36</f>
        <v>0.18000000000029104</v>
      </c>
      <c r="K1645">
        <f>'B1 - SOCNE SOCNI Movement'!H36</f>
        <v>-0.99999999999636202</v>
      </c>
      <c r="L1645">
        <f>'B1 - SOCNE SOCNI Movement'!I36</f>
        <v>0</v>
      </c>
      <c r="M1645">
        <f>'B1 - SOCNE SOCNI Movement'!J36</f>
        <v>-0.11000000000058208</v>
      </c>
      <c r="N1645">
        <f>'B1 - SOCNE SOCNI Movement'!K36</f>
        <v>-9.0099999999983993</v>
      </c>
      <c r="O1645">
        <f>'B1 - SOCNE SOCNI Movement'!L36</f>
        <v>-3.637978807091713E-12</v>
      </c>
      <c r="P1645">
        <f>'B1 - SOCNE SOCNI Movement'!M36</f>
        <v>7.2759576141834259E-12</v>
      </c>
      <c r="Q1645">
        <f>'B1 - SOCNE SOCNI Movement'!N36</f>
        <v>37.999999999994543</v>
      </c>
      <c r="R1645">
        <f>'B1 - SOCNE SOCNI Movement'!O36</f>
        <v>-40</v>
      </c>
      <c r="S1645">
        <f>'B1 - SOCNE SOCNI Movement'!P36</f>
        <v>-11.939999999996871</v>
      </c>
      <c r="U1645">
        <f t="shared" si="395"/>
        <v>-11.939999999996871</v>
      </c>
    </row>
    <row r="1646" spans="1:21">
      <c r="A1646" s="2894" t="str">
        <f>ORG!$S$1</f>
        <v>Feb 24</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Feb 24</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Feb 24</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Feb 24</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Feb 24</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2258</v>
      </c>
      <c r="K1650">
        <f>'B1 - SOCNE SOCNI Movement'!H43</f>
        <v>2227</v>
      </c>
      <c r="L1650">
        <f>'B1 - SOCNE SOCNI Movement'!I43</f>
        <v>2035</v>
      </c>
      <c r="M1650">
        <f>'B1 - SOCNE SOCNI Movement'!J43</f>
        <v>1918</v>
      </c>
      <c r="N1650">
        <f>'B1 - SOCNE SOCNI Movement'!K43</f>
        <v>2623</v>
      </c>
      <c r="O1650">
        <f>'B1 - SOCNE SOCNI Movement'!L43</f>
        <v>2118</v>
      </c>
      <c r="P1650">
        <f>'B1 - SOCNE SOCNI Movement'!M43</f>
        <v>2071</v>
      </c>
      <c r="Q1650">
        <f>'B1 - SOCNE SOCNI Movement'!N43</f>
        <v>2043</v>
      </c>
      <c r="R1650">
        <f>'B1 - SOCNE SOCNI Movement'!O43</f>
        <v>2043</v>
      </c>
      <c r="S1650">
        <f>'B1 - SOCNE SOCNI Movement'!P43</f>
        <v>25385</v>
      </c>
      <c r="U1650">
        <f t="shared" si="395"/>
        <v>25385</v>
      </c>
    </row>
    <row r="1651" spans="1:21">
      <c r="A1651" s="2894" t="str">
        <f>ORG!$S$1</f>
        <v>Feb 24</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16</v>
      </c>
      <c r="J1651">
        <f>'B1 - SOCNE SOCNI Movement'!G44</f>
        <v>27</v>
      </c>
      <c r="K1651">
        <f>'B1 - SOCNE SOCNI Movement'!H44</f>
        <v>19</v>
      </c>
      <c r="L1651">
        <f>'B1 - SOCNE SOCNI Movement'!I44</f>
        <v>19</v>
      </c>
      <c r="M1651">
        <f>'B1 - SOCNE SOCNI Movement'!J44</f>
        <v>19</v>
      </c>
      <c r="N1651">
        <f>'B1 - SOCNE SOCNI Movement'!K44</f>
        <v>11</v>
      </c>
      <c r="O1651">
        <f>'B1 - SOCNE SOCNI Movement'!L44</f>
        <v>27</v>
      </c>
      <c r="P1651">
        <f>'B1 - SOCNE SOCNI Movement'!M44</f>
        <v>19</v>
      </c>
      <c r="Q1651">
        <f>'B1 - SOCNE SOCNI Movement'!N44</f>
        <v>19</v>
      </c>
      <c r="R1651">
        <f>'B1 - SOCNE SOCNI Movement'!O44</f>
        <v>19</v>
      </c>
      <c r="S1651">
        <f>'B1 - SOCNE SOCNI Movement'!P44</f>
        <v>229</v>
      </c>
      <c r="U1651">
        <f t="shared" si="395"/>
        <v>229</v>
      </c>
    </row>
    <row r="1652" spans="1:21">
      <c r="A1652" s="2894" t="str">
        <f>ORG!$S$1</f>
        <v>Feb 24</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17884</v>
      </c>
      <c r="K1652">
        <f>'B1 - SOCNE SOCNI Movement'!H45</f>
        <v>17098</v>
      </c>
      <c r="L1652">
        <f>'B1 - SOCNE SOCNI Movement'!I45</f>
        <v>17332</v>
      </c>
      <c r="M1652">
        <f>'B1 - SOCNE SOCNI Movement'!J45</f>
        <v>18104</v>
      </c>
      <c r="N1652">
        <f>'B1 - SOCNE SOCNI Movement'!K45</f>
        <v>16567</v>
      </c>
      <c r="O1652">
        <f>'B1 - SOCNE SOCNI Movement'!L45</f>
        <v>12701</v>
      </c>
      <c r="P1652">
        <f>'B1 - SOCNE SOCNI Movement'!M45</f>
        <v>18269</v>
      </c>
      <c r="Q1652">
        <f>'B1 - SOCNE SOCNI Movement'!N45</f>
        <v>18953</v>
      </c>
      <c r="R1652">
        <f>'B1 - SOCNE SOCNI Movement'!O45</f>
        <v>22103</v>
      </c>
      <c r="S1652">
        <f>'B1 - SOCNE SOCNI Movement'!P45</f>
        <v>206976</v>
      </c>
      <c r="U1652">
        <f t="shared" si="395"/>
        <v>206976</v>
      </c>
    </row>
    <row r="1653" spans="1:21">
      <c r="A1653" s="2894" t="str">
        <f>ORG!$S$1</f>
        <v>Feb 24</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669</v>
      </c>
      <c r="K1653">
        <f>'B1 - SOCNE SOCNI Movement'!H46</f>
        <v>561</v>
      </c>
      <c r="L1653">
        <f>'B1 - SOCNE SOCNI Movement'!I46</f>
        <v>427</v>
      </c>
      <c r="M1653">
        <f>'B1 - SOCNE SOCNI Movement'!J46</f>
        <v>613</v>
      </c>
      <c r="N1653">
        <f>'B1 - SOCNE SOCNI Movement'!K46</f>
        <v>1007</v>
      </c>
      <c r="O1653">
        <f>'B1 - SOCNE SOCNI Movement'!L46</f>
        <v>645</v>
      </c>
      <c r="P1653">
        <f>'B1 - SOCNE SOCNI Movement'!M46</f>
        <v>560</v>
      </c>
      <c r="Q1653">
        <f>'B1 - SOCNE SOCNI Movement'!N46</f>
        <v>513</v>
      </c>
      <c r="R1653">
        <f>'B1 - SOCNE SOCNI Movement'!O46</f>
        <v>518</v>
      </c>
      <c r="S1653">
        <f>'B1 - SOCNE SOCNI Movement'!P46</f>
        <v>7146</v>
      </c>
      <c r="U1653">
        <f t="shared" si="395"/>
        <v>7146</v>
      </c>
    </row>
    <row r="1654" spans="1:21">
      <c r="A1654" s="2894" t="str">
        <f>ORG!$S$1</f>
        <v>Feb 24</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18983</v>
      </c>
      <c r="J1654">
        <f>'B1 - SOCNE SOCNI Movement'!G47</f>
        <v>20838</v>
      </c>
      <c r="K1654">
        <f>'B1 - SOCNE SOCNI Movement'!H47</f>
        <v>19905</v>
      </c>
      <c r="L1654">
        <f>'B1 - SOCNE SOCNI Movement'!I47</f>
        <v>19813</v>
      </c>
      <c r="M1654">
        <f>'B1 - SOCNE SOCNI Movement'!J47</f>
        <v>20654</v>
      </c>
      <c r="N1654">
        <f>'B1 - SOCNE SOCNI Movement'!K47</f>
        <v>20208</v>
      </c>
      <c r="O1654">
        <f>'B1 - SOCNE SOCNI Movement'!L47</f>
        <v>15491</v>
      </c>
      <c r="P1654">
        <f>'B1 - SOCNE SOCNI Movement'!M47</f>
        <v>20919</v>
      </c>
      <c r="Q1654">
        <f>'B1 - SOCNE SOCNI Movement'!N47</f>
        <v>21528</v>
      </c>
      <c r="R1654">
        <f>'B1 - SOCNE SOCNI Movement'!O47</f>
        <v>24683</v>
      </c>
      <c r="S1654">
        <f>'B1 - SOCNE SOCNI Movement'!P47</f>
        <v>239736</v>
      </c>
      <c r="U1654">
        <f t="shared" si="395"/>
        <v>239736</v>
      </c>
    </row>
    <row r="1655" spans="1:21">
      <c r="A1655" s="2894" t="str">
        <f>ORG!$S$1</f>
        <v>Feb 24</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Feb 24</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Feb 24</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12349</v>
      </c>
      <c r="K1657">
        <f>'B1 - SOCNE SOCNI Movement'!H50</f>
        <v>11570</v>
      </c>
      <c r="L1657">
        <f>'B1 - SOCNE SOCNI Movement'!I50</f>
        <v>11261</v>
      </c>
      <c r="M1657">
        <f>'B1 - SOCNE SOCNI Movement'!J50</f>
        <v>11643</v>
      </c>
      <c r="N1657">
        <f>'B1 - SOCNE SOCNI Movement'!K50</f>
        <v>11349</v>
      </c>
      <c r="O1657">
        <f>'B1 - SOCNE SOCNI Movement'!L50</f>
        <v>11571</v>
      </c>
      <c r="P1657">
        <f>'B1 - SOCNE SOCNI Movement'!M50</f>
        <v>11552</v>
      </c>
      <c r="Q1657">
        <f>'B1 - SOCNE SOCNI Movement'!N50</f>
        <v>12262</v>
      </c>
      <c r="R1657">
        <f>'B1 - SOCNE SOCNI Movement'!O50</f>
        <v>12516</v>
      </c>
      <c r="S1657">
        <f>'B1 - SOCNE SOCNI Movement'!P50</f>
        <v>140471</v>
      </c>
      <c r="U1657">
        <f t="shared" si="395"/>
        <v>140471</v>
      </c>
    </row>
    <row r="1658" spans="1:21">
      <c r="A1658" s="2894" t="str">
        <f>ORG!$S$1</f>
        <v>Feb 24</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4736.8200000000006</v>
      </c>
      <c r="J1658">
        <f>'B1 - SOCNE SOCNI Movement'!G51</f>
        <v>7850</v>
      </c>
      <c r="K1658">
        <f>'B1 - SOCNE SOCNI Movement'!H51</f>
        <v>7802</v>
      </c>
      <c r="L1658">
        <f>'B1 - SOCNE SOCNI Movement'!I51</f>
        <v>7866.1100000000006</v>
      </c>
      <c r="M1658">
        <f>'B1 - SOCNE SOCNI Movement'!J51</f>
        <v>8443</v>
      </c>
      <c r="N1658">
        <f>'B1 - SOCNE SOCNI Movement'!K51</f>
        <v>8427.7000000000007</v>
      </c>
      <c r="O1658">
        <f>'B1 - SOCNE SOCNI Movement'!L51</f>
        <v>3355</v>
      </c>
      <c r="P1658">
        <f>'B1 - SOCNE SOCNI Movement'!M51</f>
        <v>8765</v>
      </c>
      <c r="Q1658">
        <f>'B1 - SOCNE SOCNI Movement'!N51</f>
        <v>8493</v>
      </c>
      <c r="R1658">
        <f>'B1 - SOCNE SOCNI Movement'!O51</f>
        <v>11460</v>
      </c>
      <c r="S1658">
        <f>'B1 - SOCNE SOCNI Movement'!P51</f>
        <v>92062.808999999994</v>
      </c>
      <c r="U1658">
        <f t="shared" si="395"/>
        <v>92062.808999999994</v>
      </c>
    </row>
    <row r="1659" spans="1:21">
      <c r="A1659" s="2894" t="str">
        <f>ORG!$S$1</f>
        <v>Feb 24</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Feb 24</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Feb 24</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Feb 24</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Feb 24</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Feb 24</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Feb 24</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Feb 24</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Feb 24</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Feb 24</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Feb 24</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645</v>
      </c>
      <c r="L1669">
        <f>'B1 - SOCNE SOCNI Movement'!I62</f>
        <v>543.77</v>
      </c>
      <c r="M1669">
        <f>'B1 - SOCNE SOCNI Movement'!J62</f>
        <v>543.77</v>
      </c>
      <c r="N1669">
        <f>'B1 - SOCNE SOCNI Movement'!K62</f>
        <v>502.17</v>
      </c>
      <c r="O1669">
        <f>'B1 - SOCNE SOCNI Movement'!L62</f>
        <v>529</v>
      </c>
      <c r="P1669">
        <f>'B1 - SOCNE SOCNI Movement'!M62</f>
        <v>528</v>
      </c>
      <c r="Q1669">
        <f>'B1 - SOCNE SOCNI Movement'!N62</f>
        <v>744</v>
      </c>
      <c r="R1669">
        <f>'B1 - SOCNE SOCNI Movement'!O62</f>
        <v>744</v>
      </c>
      <c r="S1669">
        <f>'B1 - SOCNE SOCNI Movement'!P62</f>
        <v>6853.7109999999993</v>
      </c>
      <c r="U1669">
        <f t="shared" si="395"/>
        <v>6853.7109999999993</v>
      </c>
    </row>
    <row r="1670" spans="1:21">
      <c r="A1670" s="2894" t="str">
        <f>ORG!$S$1</f>
        <v>Feb 24</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34</v>
      </c>
      <c r="L1670">
        <f>'B1 - SOCNE SOCNI Movement'!I63</f>
        <v>28.12</v>
      </c>
      <c r="M1670">
        <f>'B1 - SOCNE SOCNI Movement'!J63</f>
        <v>28.12</v>
      </c>
      <c r="N1670">
        <f>'B1 - SOCNE SOCNI Movement'!K63</f>
        <v>28.12</v>
      </c>
      <c r="O1670">
        <f>'B1 - SOCNE SOCNI Movement'!L63</f>
        <v>28</v>
      </c>
      <c r="P1670">
        <f>'B1 - SOCNE SOCNI Movement'!M63</f>
        <v>28</v>
      </c>
      <c r="Q1670">
        <f>'B1 - SOCNE SOCNI Movement'!N63</f>
        <v>28</v>
      </c>
      <c r="R1670">
        <f>'B1 - SOCNE SOCNI Movement'!O63</f>
        <v>28</v>
      </c>
      <c r="S1670">
        <f>'B1 - SOCNE SOCNI Movement'!P63</f>
        <v>336.54</v>
      </c>
      <c r="U1670">
        <f t="shared" si="395"/>
        <v>336.54</v>
      </c>
    </row>
    <row r="1671" spans="1:21">
      <c r="A1671" s="2894" t="str">
        <f>ORG!$S$1</f>
        <v>Feb 24</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Feb 24</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Feb 24</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18972</v>
      </c>
      <c r="J1673">
        <f>'B1 - SOCNE SOCNI Movement'!G66</f>
        <v>20744.18</v>
      </c>
      <c r="K1673">
        <f>'B1 - SOCNE SOCNI Movement'!H66</f>
        <v>20051</v>
      </c>
      <c r="L1673">
        <f>'B1 - SOCNE SOCNI Movement'!I66</f>
        <v>19699</v>
      </c>
      <c r="M1673">
        <f>'B1 - SOCNE SOCNI Movement'!J66</f>
        <v>20657.89</v>
      </c>
      <c r="N1673">
        <f>'B1 - SOCNE SOCNI Movement'!K66</f>
        <v>20306.989999999998</v>
      </c>
      <c r="O1673">
        <f>'B1 - SOCNE SOCNI Movement'!L66</f>
        <v>15483</v>
      </c>
      <c r="P1673">
        <f>'B1 - SOCNE SOCNI Movement'!M66</f>
        <v>20873</v>
      </c>
      <c r="Q1673">
        <f>'B1 - SOCNE SOCNI Movement'!N66</f>
        <v>21527</v>
      </c>
      <c r="R1673">
        <f>'B1 - SOCNE SOCNI Movement'!O66</f>
        <v>24748</v>
      </c>
      <c r="S1673">
        <f>'B1 - SOCNE SOCNI Movement'!P66</f>
        <v>239724.06</v>
      </c>
      <c r="U1673">
        <f t="shared" si="397"/>
        <v>239724.06</v>
      </c>
    </row>
    <row r="1674" spans="1:21">
      <c r="A1674" s="2894" t="str">
        <f>ORG!$S$1</f>
        <v>Feb 24</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11</v>
      </c>
      <c r="J1674">
        <f>'B1 - SOCNE SOCNI Movement'!G67</f>
        <v>93.819999999999709</v>
      </c>
      <c r="K1674">
        <f>'B1 - SOCNE SOCNI Movement'!H67</f>
        <v>-146</v>
      </c>
      <c r="L1674">
        <f>'B1 - SOCNE SOCNI Movement'!I67</f>
        <v>114</v>
      </c>
      <c r="M1674">
        <f>'B1 - SOCNE SOCNI Movement'!J67</f>
        <v>-3.8899999999994179</v>
      </c>
      <c r="N1674">
        <f>'B1 - SOCNE SOCNI Movement'!K67</f>
        <v>-98.989999999997963</v>
      </c>
      <c r="O1674">
        <f>'B1 - SOCNE SOCNI Movement'!L67</f>
        <v>8</v>
      </c>
      <c r="P1674">
        <f>'B1 - SOCNE SOCNI Movement'!M67</f>
        <v>46</v>
      </c>
      <c r="Q1674">
        <f>'B1 - SOCNE SOCNI Movement'!N67</f>
        <v>1</v>
      </c>
      <c r="R1674">
        <f>'B1 - SOCNE SOCNI Movement'!O67</f>
        <v>-65</v>
      </c>
      <c r="S1674">
        <f>'B1 - SOCNE SOCNI Movement'!P67</f>
        <v>11.940000000002328</v>
      </c>
      <c r="U1674">
        <f t="shared" si="397"/>
        <v>11.940000000002328</v>
      </c>
    </row>
    <row r="1675" spans="1:21">
      <c r="A1675" s="2894" t="str">
        <f>ORG!$S$1</f>
        <v>Feb 24</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Feb 24</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Feb 24</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Feb 24</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250</v>
      </c>
      <c r="R1678">
        <f>'B1 - SOCNE SOCNI Movement'!O75</f>
        <v>0</v>
      </c>
      <c r="S1678">
        <f>'B1 - SOCNE SOCNI Movement'!P75</f>
        <v>250</v>
      </c>
      <c r="U1678">
        <f t="shared" si="397"/>
        <v>250</v>
      </c>
    </row>
    <row r="1679" spans="1:21">
      <c r="A1679" s="2894" t="str">
        <f>ORG!$S$1</f>
        <v>Feb 24</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2227</v>
      </c>
      <c r="L1679">
        <f>'B1 - SOCNE SOCNI Movement'!I76</f>
        <v>2035</v>
      </c>
      <c r="M1679">
        <f>'B1 - SOCNE SOCNI Movement'!J76</f>
        <v>1918</v>
      </c>
      <c r="N1679">
        <f>'B1 - SOCNE SOCNI Movement'!K76</f>
        <v>2623</v>
      </c>
      <c r="O1679">
        <f>'B1 - SOCNE SOCNI Movement'!L76</f>
        <v>2118</v>
      </c>
      <c r="P1679">
        <f>'B1 - SOCNE SOCNI Movement'!M76</f>
        <v>2071</v>
      </c>
      <c r="Q1679">
        <f>'B1 - SOCNE SOCNI Movement'!N76</f>
        <v>2292</v>
      </c>
      <c r="R1679">
        <f>'B1 - SOCNE SOCNI Movement'!O76</f>
        <v>2041</v>
      </c>
      <c r="S1679">
        <f>'B1 - SOCNE SOCNI Movement'!P76</f>
        <v>25632</v>
      </c>
      <c r="U1679">
        <f t="shared" si="397"/>
        <v>25632</v>
      </c>
    </row>
    <row r="1680" spans="1:21">
      <c r="A1680" s="2894" t="str">
        <f>ORG!$S$1</f>
        <v>Feb 24</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19</v>
      </c>
      <c r="L1680">
        <f>'B1 - SOCNE SOCNI Movement'!I77</f>
        <v>19</v>
      </c>
      <c r="M1680">
        <f>'B1 - SOCNE SOCNI Movement'!J77</f>
        <v>19</v>
      </c>
      <c r="N1680">
        <f>'B1 - SOCNE SOCNI Movement'!K77</f>
        <v>11</v>
      </c>
      <c r="O1680">
        <f>'B1 - SOCNE SOCNI Movement'!L77</f>
        <v>27</v>
      </c>
      <c r="P1680">
        <f>'B1 - SOCNE SOCNI Movement'!M77</f>
        <v>19</v>
      </c>
      <c r="Q1680">
        <f>'B1 - SOCNE SOCNI Movement'!N77</f>
        <v>20</v>
      </c>
      <c r="R1680">
        <f>'B1 - SOCNE SOCNI Movement'!O77</f>
        <v>19</v>
      </c>
      <c r="S1680">
        <f>'B1 - SOCNE SOCNI Movement'!P77</f>
        <v>230</v>
      </c>
      <c r="U1680">
        <f t="shared" si="397"/>
        <v>230</v>
      </c>
    </row>
    <row r="1681" spans="1:21">
      <c r="A1681" s="2894" t="str">
        <f>ORG!$S$1</f>
        <v>Feb 24</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17098</v>
      </c>
      <c r="L1681">
        <f>'B1 - SOCNE SOCNI Movement'!I78</f>
        <v>17332</v>
      </c>
      <c r="M1681">
        <f>'B1 - SOCNE SOCNI Movement'!J78</f>
        <v>18104</v>
      </c>
      <c r="N1681">
        <f>'B1 - SOCNE SOCNI Movement'!K78</f>
        <v>16567</v>
      </c>
      <c r="O1681">
        <f>'B1 - SOCNE SOCNI Movement'!L78</f>
        <v>12701</v>
      </c>
      <c r="P1681">
        <f>'B1 - SOCNE SOCNI Movement'!M78</f>
        <v>18269</v>
      </c>
      <c r="Q1681">
        <f>'B1 - SOCNE SOCNI Movement'!N78</f>
        <v>10111</v>
      </c>
      <c r="R1681">
        <f>'B1 - SOCNE SOCNI Movement'!O78</f>
        <v>23235.661746666665</v>
      </c>
      <c r="S1681">
        <f>'B1 - SOCNE SOCNI Movement'!P78</f>
        <v>199266.66174666665</v>
      </c>
      <c r="U1681">
        <f t="shared" si="397"/>
        <v>199266.66174666665</v>
      </c>
    </row>
    <row r="1682" spans="1:21">
      <c r="A1682" s="2894" t="str">
        <f>ORG!$S$1</f>
        <v>Feb 24</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561</v>
      </c>
      <c r="L1682">
        <f>'B1 - SOCNE SOCNI Movement'!I79</f>
        <v>427</v>
      </c>
      <c r="M1682">
        <f>'B1 - SOCNE SOCNI Movement'!J79</f>
        <v>613</v>
      </c>
      <c r="N1682">
        <f>'B1 - SOCNE SOCNI Movement'!K79</f>
        <v>1007</v>
      </c>
      <c r="O1682">
        <f>'B1 - SOCNE SOCNI Movement'!L79</f>
        <v>645</v>
      </c>
      <c r="P1682">
        <f>'B1 - SOCNE SOCNI Movement'!M79</f>
        <v>560</v>
      </c>
      <c r="Q1682">
        <f>'B1 - SOCNE SOCNI Movement'!N79</f>
        <v>528</v>
      </c>
      <c r="R1682">
        <f>'B1 - SOCNE SOCNI Movement'!O79</f>
        <v>513</v>
      </c>
      <c r="S1682">
        <f>'B1 - SOCNE SOCNI Movement'!P79</f>
        <v>7156</v>
      </c>
      <c r="U1682">
        <f t="shared" si="397"/>
        <v>7156</v>
      </c>
    </row>
    <row r="1683" spans="1:21">
      <c r="A1683" s="2894" t="str">
        <f>ORG!$S$1</f>
        <v>Feb 24</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19905</v>
      </c>
      <c r="L1683">
        <f>'B1 - SOCNE SOCNI Movement'!I80</f>
        <v>19813</v>
      </c>
      <c r="M1683">
        <f>'B1 - SOCNE SOCNI Movement'!J80</f>
        <v>20654</v>
      </c>
      <c r="N1683">
        <f>'B1 - SOCNE SOCNI Movement'!K80</f>
        <v>20208</v>
      </c>
      <c r="O1683">
        <f>'B1 - SOCNE SOCNI Movement'!L80</f>
        <v>15491</v>
      </c>
      <c r="P1683">
        <f>'B1 - SOCNE SOCNI Movement'!M80</f>
        <v>20919</v>
      </c>
      <c r="Q1683">
        <f>'B1 - SOCNE SOCNI Movement'!N80</f>
        <v>13201</v>
      </c>
      <c r="R1683">
        <f>'B1 - SOCNE SOCNI Movement'!O80</f>
        <v>25808.661746666665</v>
      </c>
      <c r="S1683">
        <f>'B1 - SOCNE SOCNI Movement'!P80</f>
        <v>232534.66174666665</v>
      </c>
      <c r="U1683">
        <f t="shared" si="397"/>
        <v>232534.66174666665</v>
      </c>
    </row>
    <row r="1684" spans="1:21">
      <c r="A1684" s="2894" t="str">
        <f>ORG!$S$1</f>
        <v>Feb 24</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Feb 24</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Feb 24</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11570</v>
      </c>
      <c r="L1686">
        <f>'B1 - SOCNE SOCNI Movement'!I83</f>
        <v>11261</v>
      </c>
      <c r="M1686">
        <f>'B1 - SOCNE SOCNI Movement'!J83</f>
        <v>11643</v>
      </c>
      <c r="N1686">
        <f>'B1 - SOCNE SOCNI Movement'!K83</f>
        <v>11349</v>
      </c>
      <c r="O1686">
        <f>'B1 - SOCNE SOCNI Movement'!L83</f>
        <v>11571</v>
      </c>
      <c r="P1686">
        <f>'B1 - SOCNE SOCNI Movement'!M83</f>
        <v>11552</v>
      </c>
      <c r="Q1686">
        <f>'B1 - SOCNE SOCNI Movement'!N83</f>
        <v>8116</v>
      </c>
      <c r="R1686">
        <f>'B1 - SOCNE SOCNI Movement'!O83</f>
        <v>12501.937416666666</v>
      </c>
      <c r="S1686">
        <f>'B1 - SOCNE SOCNI Movement'!P83</f>
        <v>136310.93741666665</v>
      </c>
      <c r="U1686">
        <f t="shared" si="397"/>
        <v>136310.93741666665</v>
      </c>
    </row>
    <row r="1687" spans="1:21">
      <c r="A1687" s="2894" t="str">
        <f>ORG!$S$1</f>
        <v>Feb 24</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7802.4100000000008</v>
      </c>
      <c r="L1687">
        <f>'B1 - SOCNE SOCNI Movement'!I84</f>
        <v>7866.1100000000006</v>
      </c>
      <c r="M1687">
        <f>'B1 - SOCNE SOCNI Movement'!J84</f>
        <v>8443.11</v>
      </c>
      <c r="N1687">
        <f>'B1 - SOCNE SOCNI Movement'!K84</f>
        <v>8427.7000000000007</v>
      </c>
      <c r="O1687">
        <f>'B1 - SOCNE SOCNI Movement'!L84</f>
        <v>3354.9600000000028</v>
      </c>
      <c r="P1687">
        <f>'B1 - SOCNE SOCNI Movement'!M84</f>
        <v>8764.7099999999955</v>
      </c>
      <c r="Q1687">
        <f>'B1 - SOCNE SOCNI Movement'!N84</f>
        <v>4423.3800000000047</v>
      </c>
      <c r="R1687">
        <f>'B1 - SOCNE SOCNI Movement'!O84</f>
        <v>12499.304329999999</v>
      </c>
      <c r="S1687">
        <f>'B1 - SOCNE SOCNI Movement'!P84</f>
        <v>89032.213329999999</v>
      </c>
      <c r="U1687">
        <f t="shared" si="397"/>
        <v>89032.213329999999</v>
      </c>
    </row>
    <row r="1688" spans="1:21">
      <c r="A1688" s="2894" t="str">
        <f>ORG!$S$1</f>
        <v>Feb 24</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Feb 24</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Feb 24</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Feb 24</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Feb 24</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Feb 24</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Feb 24</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Feb 24</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Feb 24</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Feb 24</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Feb 24</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645.16999999999996</v>
      </c>
      <c r="L1698">
        <f>'B1 - SOCNE SOCNI Movement'!I95</f>
        <v>543.77</v>
      </c>
      <c r="M1698">
        <f>'B1 - SOCNE SOCNI Movement'!J95</f>
        <v>543.77</v>
      </c>
      <c r="N1698">
        <f>'B1 - SOCNE SOCNI Movement'!K95</f>
        <v>502.17</v>
      </c>
      <c r="O1698">
        <f>'B1 - SOCNE SOCNI Movement'!L95</f>
        <v>528.91999999999996</v>
      </c>
      <c r="P1698">
        <f>'B1 - SOCNE SOCNI Movement'!M95</f>
        <v>528.16999999999996</v>
      </c>
      <c r="Q1698">
        <f>'B1 - SOCNE SOCNI Movement'!N95</f>
        <v>594.5</v>
      </c>
      <c r="R1698">
        <f>'B1 - SOCNE SOCNI Movement'!O95</f>
        <v>884</v>
      </c>
      <c r="S1698">
        <f>'B1 - SOCNE SOCNI Movement'!P95</f>
        <v>6844.6310000000003</v>
      </c>
      <c r="U1698">
        <f t="shared" si="397"/>
        <v>6844.6310000000003</v>
      </c>
    </row>
    <row r="1699" spans="1:21">
      <c r="A1699" s="2894" t="str">
        <f>ORG!$S$1</f>
        <v>Feb 24</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34.42</v>
      </c>
      <c r="L1699">
        <f>'B1 - SOCNE SOCNI Movement'!I96</f>
        <v>28.12</v>
      </c>
      <c r="M1699">
        <f>'B1 - SOCNE SOCNI Movement'!J96</f>
        <v>28.12</v>
      </c>
      <c r="N1699">
        <f>'B1 - SOCNE SOCNI Movement'!K96</f>
        <v>28.12</v>
      </c>
      <c r="O1699">
        <f>'B1 - SOCNE SOCNI Movement'!L96</f>
        <v>28.12</v>
      </c>
      <c r="P1699">
        <f>'B1 - SOCNE SOCNI Movement'!M96</f>
        <v>28.12</v>
      </c>
      <c r="Q1699">
        <f>'B1 - SOCNE SOCNI Movement'!N96</f>
        <v>28.12</v>
      </c>
      <c r="R1699">
        <f>'B1 - SOCNE SOCNI Movement'!O96</f>
        <v>28.42</v>
      </c>
      <c r="S1699">
        <f>'B1 - SOCNE SOCNI Movement'!P96</f>
        <v>337.87000000000006</v>
      </c>
      <c r="U1699">
        <f t="shared" si="397"/>
        <v>337.87000000000006</v>
      </c>
    </row>
    <row r="1700" spans="1:21">
      <c r="A1700" s="2894" t="str">
        <f>ORG!$S$1</f>
        <v>Feb 24</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Feb 24</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9.01</v>
      </c>
      <c r="O1701">
        <f>'B1 - SOCNE SOCNI Movement'!L98</f>
        <v>0</v>
      </c>
      <c r="P1701">
        <f>'B1 - SOCNE SOCNI Movement'!M98</f>
        <v>0</v>
      </c>
      <c r="Q1701">
        <f>'B1 - SOCNE SOCNI Movement'!N98</f>
        <v>0</v>
      </c>
      <c r="R1701">
        <f>'B1 - SOCNE SOCNI Movement'!O98</f>
        <v>0</v>
      </c>
      <c r="S1701">
        <f>'B1 - SOCNE SOCNI Movement'!P98</f>
        <v>9.01</v>
      </c>
      <c r="U1701">
        <f t="shared" si="397"/>
        <v>9.01</v>
      </c>
    </row>
    <row r="1702" spans="1:21">
      <c r="A1702" s="2894" t="str">
        <f>ORG!$S$1</f>
        <v>Feb 24</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20051.999999999996</v>
      </c>
      <c r="L1702">
        <f>'B1 - SOCNE SOCNI Movement'!I99</f>
        <v>19699</v>
      </c>
      <c r="M1702">
        <f>'B1 - SOCNE SOCNI Movement'!J99</f>
        <v>20658</v>
      </c>
      <c r="N1702">
        <f>'B1 - SOCNE SOCNI Movement'!K99</f>
        <v>20315.999999999996</v>
      </c>
      <c r="O1702">
        <f>'B1 - SOCNE SOCNI Movement'!L99</f>
        <v>15483.000000000004</v>
      </c>
      <c r="P1702">
        <f>'B1 - SOCNE SOCNI Movement'!M99</f>
        <v>20872.999999999993</v>
      </c>
      <c r="Q1702">
        <f>'B1 - SOCNE SOCNI Movement'!N99</f>
        <v>13162.000000000005</v>
      </c>
      <c r="R1702">
        <f>'B1 - SOCNE SOCNI Movement'!O99</f>
        <v>25913.661746666665</v>
      </c>
      <c r="S1702">
        <f>'B1 - SOCNE SOCNI Movement'!P99</f>
        <v>232534.66174666665</v>
      </c>
      <c r="U1702">
        <f t="shared" si="397"/>
        <v>232534.66174666665</v>
      </c>
    </row>
    <row r="1703" spans="1:21">
      <c r="A1703" s="2894" t="str">
        <f>ORG!$S$1</f>
        <v>Feb 24</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-146.99999999999636</v>
      </c>
      <c r="L1703">
        <f>'B1 - SOCNE SOCNI Movement'!I100</f>
        <v>114</v>
      </c>
      <c r="M1703">
        <f>'B1 - SOCNE SOCNI Movement'!J100</f>
        <v>-4</v>
      </c>
      <c r="N1703">
        <f>'B1 - SOCNE SOCNI Movement'!K100</f>
        <v>-107.99999999999636</v>
      </c>
      <c r="O1703">
        <f>'B1 - SOCNE SOCNI Movement'!L100</f>
        <v>7.999999999996362</v>
      </c>
      <c r="P1703">
        <f>'B1 - SOCNE SOCNI Movement'!M100</f>
        <v>46.000000000007276</v>
      </c>
      <c r="Q1703">
        <f>'B1 - SOCNE SOCNI Movement'!N100</f>
        <v>38.999999999994543</v>
      </c>
      <c r="R1703">
        <f>'B1 - SOCNE SOCNI Movement'!O100</f>
        <v>-105</v>
      </c>
      <c r="S1703">
        <f>'B1 - SOCNE SOCNI Movement'!P100</f>
        <v>5.4569682106375694E-12</v>
      </c>
      <c r="U1703">
        <f t="shared" si="397"/>
        <v>5.4569682106375694E-12</v>
      </c>
    </row>
    <row r="1704" spans="1:21">
      <c r="A1704" s="2894" t="str">
        <f>ORG!$S$1</f>
        <v>Feb 24</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Feb 24</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Feb 24</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Feb 24</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250</v>
      </c>
      <c r="U1707">
        <f t="shared" si="397"/>
        <v>250</v>
      </c>
    </row>
    <row r="1708" spans="1:21">
      <c r="A1708" s="2894" t="str">
        <f>ORG!$S$1</f>
        <v>Feb 24</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250</v>
      </c>
      <c r="F1708" t="str">
        <f>'B1 - SOCNE SOCNI Movement'!C12</f>
        <v>Welsh NHS Local Health Boards &amp; Trusts Income</v>
      </c>
      <c r="S1708">
        <f>'B1 - SOCNE SOCNI Movement'!S12</f>
        <v>221</v>
      </c>
      <c r="U1708">
        <f t="shared" si="397"/>
        <v>221</v>
      </c>
    </row>
    <row r="1709" spans="1:21">
      <c r="A1709" s="2894" t="str">
        <f>ORG!$S$1</f>
        <v>Feb 24</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221</v>
      </c>
      <c r="F1709" t="str">
        <f>'B1 - SOCNE SOCNI Movement'!C13</f>
        <v>WHSSC Income</v>
      </c>
      <c r="S1709">
        <f>'B1 - SOCNE SOCNI Movement'!S13</f>
        <v>1</v>
      </c>
      <c r="U1709">
        <f t="shared" si="397"/>
        <v>1</v>
      </c>
    </row>
    <row r="1710" spans="1:21">
      <c r="A1710" s="2894" t="str">
        <f>ORG!$S$1</f>
        <v>Feb 24</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1</v>
      </c>
      <c r="F1710" t="str">
        <f>'B1 - SOCNE SOCNI Movement'!C14</f>
        <v>Welsh Government Income (Non RRL)</v>
      </c>
      <c r="S1710">
        <f>'B1 - SOCNE SOCNI Movement'!S14</f>
        <v>-8158</v>
      </c>
      <c r="U1710">
        <f t="shared" si="397"/>
        <v>-8158</v>
      </c>
    </row>
    <row r="1711" spans="1:21">
      <c r="A1711" s="2894" t="str">
        <f>ORG!$S$1</f>
        <v>Feb 24</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-8158</v>
      </c>
      <c r="F1711" t="str">
        <f>'B1 - SOCNE SOCNI Movement'!C15</f>
        <v>Other Income</v>
      </c>
      <c r="S1711">
        <f>'B1 - SOCNE SOCNI Movement'!S15</f>
        <v>-32</v>
      </c>
      <c r="U1711">
        <f t="shared" si="397"/>
        <v>-32</v>
      </c>
    </row>
    <row r="1712" spans="1:21">
      <c r="A1712" s="2894" t="str">
        <f>ORG!$S$1</f>
        <v>Feb 24</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-32</v>
      </c>
      <c r="F1712" t="str">
        <f>'B1 - SOCNE SOCNI Movement'!C16</f>
        <v>Total Income</v>
      </c>
      <c r="S1712">
        <f>'B1 - SOCNE SOCNI Movement'!S16</f>
        <v>-7718</v>
      </c>
      <c r="U1712">
        <f t="shared" si="397"/>
        <v>-7718</v>
      </c>
    </row>
    <row r="1713" spans="1:21">
      <c r="A1713" s="2894" t="str">
        <f>ORG!$S$1</f>
        <v>Feb 24</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-7718</v>
      </c>
      <c r="F1713" t="str">
        <f>'B1 - SOCNE SOCNI Movement'!C17</f>
        <v>Primary Care Contractor (excl. drugs, incl. NRL expenditure)</v>
      </c>
      <c r="S1713">
        <f>'B1 - SOCNE SOCNI Movement'!S17</f>
        <v>0</v>
      </c>
      <c r="U1713">
        <f t="shared" si="397"/>
        <v>0</v>
      </c>
    </row>
    <row r="1714" spans="1:21">
      <c r="A1714" s="2894" t="str">
        <f>ORG!$S$1</f>
        <v>Feb 24</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Feb 24</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-3436</v>
      </c>
      <c r="U1715">
        <f t="shared" si="397"/>
        <v>-3436</v>
      </c>
    </row>
    <row r="1716" spans="1:21">
      <c r="A1716" s="2894" t="str">
        <f>ORG!$S$1</f>
        <v>Feb 24</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-3436</v>
      </c>
      <c r="F1716" t="str">
        <f>'B1 - SOCNE SOCNI Movement'!C20</f>
        <v>Provider Services - Non Pay (excluding drugs &amp; depreciation)</v>
      </c>
      <c r="S1716">
        <f>'B1 - SOCNE SOCNI Movement'!S20</f>
        <v>-4341.3299999999908</v>
      </c>
      <c r="U1716">
        <f t="shared" si="397"/>
        <v>-4341.3299999999908</v>
      </c>
    </row>
    <row r="1717" spans="1:21">
      <c r="A1717" s="2894" t="str">
        <f>ORG!$S$1</f>
        <v>Feb 24</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-4341.32999999999</v>
      </c>
      <c r="F1717" t="str">
        <f>'B1 - SOCNE SOCNI Movement'!C21</f>
        <v>Secondary Care - Drugs</v>
      </c>
      <c r="S1717">
        <f>'B1 - SOCNE SOCNI Movement'!S21</f>
        <v>0</v>
      </c>
      <c r="U1717">
        <f t="shared" si="397"/>
        <v>0</v>
      </c>
    </row>
    <row r="1718" spans="1:21">
      <c r="A1718" s="2894" t="str">
        <f>ORG!$S$1</f>
        <v>Feb 24</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Feb 24</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Feb 24</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Feb 24</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Feb 24</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Feb 24</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Feb 24</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Feb 24</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Feb 24</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Feb 24</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66.330000000000041</v>
      </c>
      <c r="U1727">
        <f t="shared" si="397"/>
        <v>66.330000000000041</v>
      </c>
    </row>
    <row r="1728" spans="1:21">
      <c r="A1728" s="2894" t="str">
        <f>ORG!$S$1</f>
        <v>Feb 24</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66.33</v>
      </c>
      <c r="F1728" t="str">
        <f>'B1 - SOCNE SOCNI Movement'!C32</f>
        <v>AME Donated Depreciation\Impairments</v>
      </c>
      <c r="S1728">
        <f>'B1 - SOCNE SOCNI Movement'!S32</f>
        <v>0</v>
      </c>
      <c r="U1728">
        <f t="shared" si="397"/>
        <v>0</v>
      </c>
    </row>
    <row r="1729" spans="1:21">
      <c r="A1729" s="2894" t="str">
        <f>ORG!$S$1</f>
        <v>Feb 24</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0</v>
      </c>
      <c r="F1729" t="str">
        <f>'B1 - SOCNE SOCNI Movement'!C33</f>
        <v>Uncommitted Reserves &amp; Contingencies</v>
      </c>
      <c r="S1729">
        <f>'B1 - SOCNE SOCNI Movement'!S33</f>
        <v>0</v>
      </c>
      <c r="U1729">
        <f t="shared" si="397"/>
        <v>0</v>
      </c>
    </row>
    <row r="1730" spans="1:21">
      <c r="A1730" s="2894" t="str">
        <f>ORG!$S$1</f>
        <v>Feb 24</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Feb 24</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-7710.9999999999873</v>
      </c>
      <c r="U1731">
        <f t="shared" ref="U1731:U1786" si="398">S1731+T1731</f>
        <v>-7710.9999999999873</v>
      </c>
    </row>
    <row r="1732" spans="1:21">
      <c r="A1732" s="2894" t="str">
        <f>ORG!$S$1</f>
        <v>Feb 24</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-7710.99999999999</v>
      </c>
      <c r="F1732" t="str">
        <f>'B1 - SOCNE SOCNI Movement'!C36</f>
        <v>Forecast Outturn</v>
      </c>
      <c r="S1732">
        <f>'B1 - SOCNE SOCNI Movement'!S36</f>
        <v>-7.0000000000127329</v>
      </c>
      <c r="U1732">
        <f t="shared" si="398"/>
        <v>-7.0000000000127329</v>
      </c>
    </row>
    <row r="1733" spans="1:21">
      <c r="A1733" s="2894" t="str">
        <f>ORG!$S$1</f>
        <v>Feb 24</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-7.00000000001273</v>
      </c>
      <c r="F1733" t="str">
        <f>'B1 - SOCNE SOCNI Movement'!C10</f>
        <v>Revenue Resource Limit</v>
      </c>
      <c r="S1733">
        <f>'B1 - SOCNE SOCNI Movement'!T10</f>
        <v>0</v>
      </c>
      <c r="U1733">
        <f t="shared" si="398"/>
        <v>0</v>
      </c>
    </row>
    <row r="1734" spans="1:21">
      <c r="A1734" s="2894" t="str">
        <f>ORG!$S$1</f>
        <v>Feb 24</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250</v>
      </c>
      <c r="U1734">
        <f t="shared" si="398"/>
        <v>250</v>
      </c>
    </row>
    <row r="1735" spans="1:21">
      <c r="A1735" s="2894" t="str">
        <f>ORG!$S$1</f>
        <v>Feb 24</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249</v>
      </c>
      <c r="U1735">
        <f t="shared" si="398"/>
        <v>249</v>
      </c>
    </row>
    <row r="1736" spans="1:21">
      <c r="A1736" s="2894" t="str">
        <f>ORG!$S$1</f>
        <v>Feb 24</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1</v>
      </c>
      <c r="U1736">
        <f t="shared" si="398"/>
        <v>1</v>
      </c>
    </row>
    <row r="1737" spans="1:21">
      <c r="A1737" s="2894" t="str">
        <f>ORG!$S$1</f>
        <v>Feb 24</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-8842</v>
      </c>
      <c r="U1737">
        <f t="shared" si="398"/>
        <v>-8842</v>
      </c>
    </row>
    <row r="1738" spans="1:21">
      <c r="A1738" s="2894" t="str">
        <f>ORG!$S$1</f>
        <v>Feb 24</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15</v>
      </c>
      <c r="U1738">
        <f t="shared" si="398"/>
        <v>15</v>
      </c>
    </row>
    <row r="1739" spans="1:21">
      <c r="A1739" s="2894" t="str">
        <f>ORG!$S$1</f>
        <v>Feb 24</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-8327</v>
      </c>
      <c r="U1739">
        <f t="shared" si="398"/>
        <v>-8327</v>
      </c>
    </row>
    <row r="1740" spans="1:21">
      <c r="A1740" s="2894" t="str">
        <f>ORG!$S$1</f>
        <v>Feb 24</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Feb 24</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Feb 24</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-4146</v>
      </c>
      <c r="U1742">
        <f t="shared" si="398"/>
        <v>-4146</v>
      </c>
    </row>
    <row r="1743" spans="1:21">
      <c r="A1743" s="2894" t="str">
        <f>ORG!$S$1</f>
        <v>Feb 24</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-4069.6199999999953</v>
      </c>
      <c r="U1743">
        <f t="shared" si="398"/>
        <v>-4069.6199999999953</v>
      </c>
    </row>
    <row r="1744" spans="1:21">
      <c r="A1744" s="2894" t="str">
        <f>ORG!$S$1</f>
        <v>Feb 24</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Feb 24</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Feb 24</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Feb 24</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Feb 24</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Feb 24</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Feb 24</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Feb 24</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Feb 24</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Feb 24</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Feb 24</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-149.5</v>
      </c>
      <c r="U1754">
        <f t="shared" si="398"/>
        <v>-149.5</v>
      </c>
    </row>
    <row r="1755" spans="1:21">
      <c r="A1755" s="2894" t="str">
        <f>ORG!$S$1</f>
        <v>Feb 24</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0.12000000000000099</v>
      </c>
      <c r="U1755">
        <f t="shared" si="398"/>
        <v>0.12000000000000099</v>
      </c>
    </row>
    <row r="1756" spans="1:21">
      <c r="A1756" s="2894" t="str">
        <f>ORG!$S$1</f>
        <v>Feb 24</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Feb 24</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Feb 24</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-8364.9999999999945</v>
      </c>
      <c r="U1758">
        <f t="shared" si="398"/>
        <v>-8364.9999999999945</v>
      </c>
    </row>
    <row r="1759" spans="1:21">
      <c r="A1759" s="2894" t="str">
        <f>ORG!$S$1</f>
        <v>Feb 24</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37.999999999994543</v>
      </c>
      <c r="U1759">
        <f t="shared" si="398"/>
        <v>37.999999999994543</v>
      </c>
    </row>
    <row r="1760" spans="1:21">
      <c r="A1760" s="2894" t="str">
        <f>ORG!$S$1</f>
        <v>Feb 24</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Feb 24</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250</v>
      </c>
      <c r="U1761">
        <f t="shared" si="398"/>
        <v>250</v>
      </c>
    </row>
    <row r="1762" spans="1:21">
      <c r="A1762" s="2894" t="str">
        <f>ORG!$S$1</f>
        <v>Feb 24</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247</v>
      </c>
      <c r="U1762">
        <f t="shared" si="398"/>
        <v>247</v>
      </c>
    </row>
    <row r="1763" spans="1:21">
      <c r="A1763" s="2894" t="str">
        <f>ORG!$S$1</f>
        <v>Feb 24</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v>
      </c>
      <c r="U1763">
        <f t="shared" si="398"/>
        <v>1</v>
      </c>
    </row>
    <row r="1764" spans="1:21">
      <c r="A1764" s="2894" t="str">
        <f>ORG!$S$1</f>
        <v>Feb 24</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-7709.3382533333497</v>
      </c>
      <c r="U1764">
        <f t="shared" si="398"/>
        <v>-7709.3382533333497</v>
      </c>
    </row>
    <row r="1765" spans="1:21">
      <c r="A1765" s="2894" t="str">
        <f>ORG!$S$1</f>
        <v>Feb 24</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10</v>
      </c>
      <c r="U1765">
        <f t="shared" si="398"/>
        <v>10</v>
      </c>
    </row>
    <row r="1766" spans="1:21">
      <c r="A1766" s="2894" t="str">
        <f>ORG!$S$1</f>
        <v>Feb 24</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-7201.3382533333497</v>
      </c>
      <c r="U1766">
        <f t="shared" si="398"/>
        <v>-7201.3382533333497</v>
      </c>
    </row>
    <row r="1767" spans="1:21">
      <c r="A1767" s="2894" t="str">
        <f>ORG!$S$1</f>
        <v>Feb 24</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Feb 24</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Feb 24</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-4160.062583333347</v>
      </c>
      <c r="U1769">
        <f t="shared" si="398"/>
        <v>-4160.062583333347</v>
      </c>
    </row>
    <row r="1770" spans="1:21">
      <c r="A1770" s="2894" t="str">
        <f>ORG!$S$1</f>
        <v>Feb 24</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-3030.5956699999952</v>
      </c>
      <c r="U1770">
        <f t="shared" si="398"/>
        <v>-3030.5956699999952</v>
      </c>
    </row>
    <row r="1771" spans="1:21">
      <c r="A1771" s="2894" t="str">
        <f>ORG!$S$1</f>
        <v>Feb 24</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Feb 24</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Feb 24</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Feb 24</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Feb 24</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Feb 24</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Feb 24</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Feb 24</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Feb 24</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Feb 24</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Feb 24</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-9.0799999999990177</v>
      </c>
      <c r="U1781">
        <f t="shared" si="398"/>
        <v>-9.0799999999990177</v>
      </c>
    </row>
    <row r="1782" spans="1:21">
      <c r="A1782" s="2894" t="str">
        <f>ORG!$S$1</f>
        <v>Feb 24</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1.3300000000000409</v>
      </c>
      <c r="U1782">
        <f t="shared" si="398"/>
        <v>1.3300000000000409</v>
      </c>
    </row>
    <row r="1783" spans="1:21">
      <c r="A1783" s="2894" t="str">
        <f>ORG!$S$1</f>
        <v>Feb 24</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Feb 24</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9.01</v>
      </c>
      <c r="U1784">
        <f t="shared" si="398"/>
        <v>9.01</v>
      </c>
    </row>
    <row r="1785" spans="1:21">
      <c r="A1785" s="2894" t="str">
        <f>ORG!$S$1</f>
        <v>Feb 24</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-7189.3982533333474</v>
      </c>
      <c r="U1785">
        <f t="shared" si="398"/>
        <v>-7189.3982533333474</v>
      </c>
    </row>
    <row r="1786" spans="1:21">
      <c r="A1786" s="2894" t="str">
        <f>ORG!$S$1</f>
        <v>Feb 24</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-11.939999999996871</v>
      </c>
      <c r="U1786">
        <f t="shared" si="398"/>
        <v>-11.939999999996871</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zoomScale="70" zoomScaleNormal="70" workbookViewId="0">
      <selection activeCell="C7" sqref="C7"/>
    </sheetView>
  </sheetViews>
  <sheetFormatPr defaultColWidth="8.69140625" defaultRowHeight="15.5"/>
  <cols>
    <col min="1" max="1" width="5.23046875" customWidth="1"/>
    <col min="2" max="2" width="70.07421875" customWidth="1"/>
    <col min="6" max="6" width="2.4609375" style="414" customWidth="1"/>
    <col min="10" max="10" width="2.69140625" style="759" customWidth="1"/>
    <col min="11" max="11" width="0" style="759" hidden="1" customWidth="1"/>
    <col min="12" max="12" width="8.69140625" style="759"/>
    <col min="13" max="13" width="54.69140625" style="753" customWidth="1"/>
    <col min="14" max="14" width="70.4609375" customWidth="1"/>
  </cols>
  <sheetData>
    <row r="1" spans="1:40" ht="30">
      <c r="A1" s="79" t="str">
        <f>+Summary!A1</f>
        <v>Public Health Wales Trust</v>
      </c>
      <c r="B1" s="71"/>
      <c r="C1" s="71"/>
      <c r="D1" s="71"/>
      <c r="E1" s="71"/>
      <c r="F1" s="323"/>
      <c r="G1" s="71"/>
      <c r="H1" s="70" t="s">
        <v>80</v>
      </c>
      <c r="I1" s="140" t="str">
        <f>+Summary!H1</f>
        <v>Feb 24</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v>3445</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v>45336</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071" t="s">
        <v>111</v>
      </c>
      <c r="D10" s="3244"/>
      <c r="E10" s="3072"/>
      <c r="F10" s="389"/>
      <c r="G10" s="3071" t="s">
        <v>39</v>
      </c>
      <c r="H10" s="3244"/>
      <c r="I10" s="307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1446</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1447</v>
      </c>
      <c r="C20" s="27">
        <v>34.428080000000001</v>
      </c>
      <c r="D20" s="27">
        <v>34.428080000000001</v>
      </c>
      <c r="E20" s="397">
        <f t="shared" ref="E20:E59" si="2">+D20-C20</f>
        <v>0</v>
      </c>
      <c r="F20" s="398">
        <f t="shared" ref="F20:F59" si="3">IF(AND(D20&gt;0,B20=""),1,0)</f>
        <v>0</v>
      </c>
      <c r="G20" s="27">
        <v>35</v>
      </c>
      <c r="H20" s="27">
        <v>34.428080000000001</v>
      </c>
      <c r="I20" s="397">
        <f t="shared" si="1"/>
        <v>-0.57191999999999865</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1449</v>
      </c>
      <c r="C21" s="27">
        <v>78.069419999999994</v>
      </c>
      <c r="D21" s="27">
        <v>78.069419999999994</v>
      </c>
      <c r="E21" s="397">
        <f t="shared" si="2"/>
        <v>0</v>
      </c>
      <c r="F21" s="398">
        <f t="shared" si="3"/>
        <v>0</v>
      </c>
      <c r="G21" s="27">
        <v>164</v>
      </c>
      <c r="H21" s="27">
        <v>166.792</v>
      </c>
      <c r="I21" s="397">
        <f t="shared" si="1"/>
        <v>2.7920000000000016</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1450</v>
      </c>
      <c r="C22" s="27">
        <v>282.98998999999998</v>
      </c>
      <c r="D22" s="27">
        <v>282.98998999999998</v>
      </c>
      <c r="E22" s="397">
        <f t="shared" si="2"/>
        <v>0</v>
      </c>
      <c r="F22" s="398">
        <f t="shared" si="3"/>
        <v>0</v>
      </c>
      <c r="G22" s="27">
        <v>283</v>
      </c>
      <c r="H22" s="27">
        <v>283.35652000000005</v>
      </c>
      <c r="I22" s="397">
        <f t="shared" si="1"/>
        <v>0.35652000000004591</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t="s">
        <v>1478</v>
      </c>
      <c r="C23" s="27">
        <v>31.50732</v>
      </c>
      <c r="D23" s="27">
        <v>31.50732</v>
      </c>
      <c r="E23" s="397">
        <f t="shared" si="2"/>
        <v>0</v>
      </c>
      <c r="F23" s="398">
        <f t="shared" si="3"/>
        <v>0</v>
      </c>
      <c r="G23" s="27">
        <v>450</v>
      </c>
      <c r="H23" s="27">
        <v>446.41295000000002</v>
      </c>
      <c r="I23" s="397">
        <f t="shared" si="1"/>
        <v>-3.5870499999999765</v>
      </c>
      <c r="J23" s="790">
        <f t="shared" si="4"/>
        <v>0</v>
      </c>
      <c r="K23" s="1870"/>
      <c r="L23" s="2472">
        <f t="shared" si="5"/>
        <v>1</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t="s">
        <v>1479</v>
      </c>
      <c r="C24" s="27">
        <v>0</v>
      </c>
      <c r="D24" s="27">
        <v>0</v>
      </c>
      <c r="E24" s="397">
        <f t="shared" si="2"/>
        <v>0</v>
      </c>
      <c r="F24" s="398">
        <f t="shared" si="3"/>
        <v>0</v>
      </c>
      <c r="G24" s="27">
        <v>319</v>
      </c>
      <c r="H24" s="27">
        <v>319.20772999999997</v>
      </c>
      <c r="I24" s="397">
        <f t="shared" si="1"/>
        <v>0.20772999999996955</v>
      </c>
      <c r="J24" s="790">
        <f t="shared" si="4"/>
        <v>0</v>
      </c>
      <c r="K24" s="1870"/>
      <c r="L24" s="2472">
        <f t="shared" si="5"/>
        <v>1</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1448</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3013" t="s">
        <v>1472</v>
      </c>
      <c r="C28" s="27">
        <v>101.52</v>
      </c>
      <c r="D28" s="27">
        <v>101.52</v>
      </c>
      <c r="E28" s="397">
        <f t="shared" si="2"/>
        <v>0</v>
      </c>
      <c r="F28" s="398">
        <f t="shared" si="3"/>
        <v>0</v>
      </c>
      <c r="G28" s="27">
        <v>160</v>
      </c>
      <c r="H28" s="27">
        <v>160</v>
      </c>
      <c r="I28" s="397">
        <f t="shared" si="1"/>
        <v>0</v>
      </c>
      <c r="J28" s="790">
        <f t="shared" si="4"/>
        <v>0</v>
      </c>
      <c r="K28" s="1870"/>
      <c r="L28" s="2472">
        <f t="shared" si="5"/>
        <v>1</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528.51481000000001</v>
      </c>
      <c r="D60" s="117">
        <f t="shared" si="6"/>
        <v>528.51481000000001</v>
      </c>
      <c r="E60" s="117">
        <f t="shared" si="6"/>
        <v>0</v>
      </c>
      <c r="F60" s="398">
        <f t="shared" si="6"/>
        <v>0</v>
      </c>
      <c r="G60" s="117">
        <f t="shared" si="6"/>
        <v>1411</v>
      </c>
      <c r="H60" s="117">
        <f t="shared" si="6"/>
        <v>1410.1972799999999</v>
      </c>
      <c r="I60" s="117">
        <f t="shared" si="6"/>
        <v>-0.80271999999995813</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590.21911999999998</v>
      </c>
      <c r="D64" s="27">
        <v>590.21911999999998</v>
      </c>
      <c r="E64" s="397">
        <f>+D64-C64</f>
        <v>0</v>
      </c>
      <c r="F64" s="323"/>
      <c r="G64" s="27">
        <v>941.61424</v>
      </c>
      <c r="H64" s="27">
        <v>941.61424</v>
      </c>
      <c r="I64" s="397">
        <f>+H64-G64</f>
        <v>0</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134.28635999999997</v>
      </c>
      <c r="D65" s="27">
        <v>134.28635999999997</v>
      </c>
      <c r="E65" s="397">
        <f>+D65-C65</f>
        <v>0</v>
      </c>
      <c r="F65" s="323"/>
      <c r="G65" s="27">
        <v>142.35594</v>
      </c>
      <c r="H65" s="27">
        <v>142.35594</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34.176600000000001</v>
      </c>
      <c r="D67" s="27">
        <v>34.176600000000001</v>
      </c>
      <c r="E67" s="397">
        <f>+D67-C67</f>
        <v>0</v>
      </c>
      <c r="F67" s="323"/>
      <c r="G67" s="27">
        <v>78.971929999999986</v>
      </c>
      <c r="H67" s="27">
        <v>78.971929999999986</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94.057410000000004</v>
      </c>
      <c r="H68" s="28">
        <v>94.057410000000004</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758.46266999999989</v>
      </c>
      <c r="D69" s="117">
        <f>SUM(D64:D68)</f>
        <v>758.46266999999989</v>
      </c>
      <c r="E69" s="117">
        <f>SUM(E64:E68)</f>
        <v>0</v>
      </c>
      <c r="F69" s="323"/>
      <c r="G69" s="117">
        <f>SUM(G64:G68)</f>
        <v>1256.9995199999998</v>
      </c>
      <c r="H69" s="117">
        <f>SUM(H64:H68)</f>
        <v>1256.9995199999998</v>
      </c>
      <c r="I69" s="117">
        <f>SUM(I64:I68)</f>
        <v>0</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3013" t="s">
        <v>1496</v>
      </c>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3013" t="s">
        <v>1498</v>
      </c>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3013" t="s">
        <v>1493</v>
      </c>
      <c r="C75" s="27">
        <v>323</v>
      </c>
      <c r="D75" s="27">
        <v>323</v>
      </c>
      <c r="E75" s="397">
        <f t="shared" si="7"/>
        <v>0</v>
      </c>
      <c r="F75" s="323">
        <f t="shared" si="8"/>
        <v>0</v>
      </c>
      <c r="G75" s="27">
        <v>323</v>
      </c>
      <c r="H75" s="27">
        <v>323</v>
      </c>
      <c r="I75" s="397">
        <f t="shared" si="9"/>
        <v>0</v>
      </c>
      <c r="J75" s="789">
        <f t="shared" si="10"/>
        <v>0</v>
      </c>
      <c r="K75" s="1870"/>
      <c r="L75" s="2472">
        <f t="shared" si="11"/>
        <v>1</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3013" t="s">
        <v>1494</v>
      </c>
      <c r="C76" s="27">
        <v>114</v>
      </c>
      <c r="D76" s="27">
        <v>114</v>
      </c>
      <c r="E76" s="397">
        <f t="shared" si="7"/>
        <v>0</v>
      </c>
      <c r="F76" s="323">
        <f t="shared" si="8"/>
        <v>0</v>
      </c>
      <c r="G76" s="27">
        <v>114</v>
      </c>
      <c r="H76" s="27">
        <v>114</v>
      </c>
      <c r="I76" s="397">
        <f t="shared" si="9"/>
        <v>0</v>
      </c>
      <c r="J76" s="789">
        <f t="shared" si="10"/>
        <v>0</v>
      </c>
      <c r="K76" s="1870"/>
      <c r="L76" s="2472">
        <f t="shared" si="11"/>
        <v>1</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3013" t="s">
        <v>1497</v>
      </c>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t="s">
        <v>1495</v>
      </c>
      <c r="C79" s="27">
        <v>340</v>
      </c>
      <c r="D79" s="27">
        <v>340</v>
      </c>
      <c r="E79" s="397">
        <f t="shared" si="7"/>
        <v>0</v>
      </c>
      <c r="F79" s="323">
        <f t="shared" si="8"/>
        <v>0</v>
      </c>
      <c r="G79" s="27">
        <v>340</v>
      </c>
      <c r="H79" s="27">
        <v>340</v>
      </c>
      <c r="I79" s="397">
        <f t="shared" si="9"/>
        <v>0</v>
      </c>
      <c r="J79" s="789">
        <f t="shared" si="10"/>
        <v>0</v>
      </c>
      <c r="K79" s="1870"/>
      <c r="L79" s="2472">
        <f t="shared" si="11"/>
        <v>1</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777</v>
      </c>
      <c r="D93" s="117">
        <f t="shared" si="12"/>
        <v>777</v>
      </c>
      <c r="E93" s="117">
        <f t="shared" si="12"/>
        <v>0</v>
      </c>
      <c r="F93" s="323">
        <f t="shared" si="12"/>
        <v>0</v>
      </c>
      <c r="G93" s="117">
        <f t="shared" si="12"/>
        <v>777</v>
      </c>
      <c r="H93" s="117">
        <f t="shared" si="12"/>
        <v>777</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2063.97748</v>
      </c>
      <c r="D95" s="117">
        <f>+D60+D69+D93</f>
        <v>2063.97748</v>
      </c>
      <c r="E95" s="117">
        <f>IF(C95&lt;&gt;"",D95-C95,"")</f>
        <v>0</v>
      </c>
      <c r="F95" s="323"/>
      <c r="G95" s="117">
        <f>+G60+G69+G93</f>
        <v>3444.9995199999998</v>
      </c>
      <c r="H95" s="117">
        <f>+H60+H69+H93</f>
        <v>3444.1967999999997</v>
      </c>
      <c r="I95" s="117">
        <f>IF(G95&lt;&gt;"",H95-G95,"")</f>
        <v>-0.80272000000013577</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t="s">
        <v>1491</v>
      </c>
      <c r="C101" s="27">
        <v>249.774</v>
      </c>
      <c r="D101" s="27">
        <v>249.774</v>
      </c>
      <c r="E101" s="397">
        <f>+D101-C101</f>
        <v>0</v>
      </c>
      <c r="F101" s="323">
        <f>IF(AND(D101&gt;0,B101=""),1,0)</f>
        <v>0</v>
      </c>
      <c r="G101" s="27">
        <v>249.774</v>
      </c>
      <c r="H101" s="27">
        <v>249.774</v>
      </c>
      <c r="I101" s="397">
        <f>+H101-G101</f>
        <v>0</v>
      </c>
      <c r="J101" s="789">
        <f>IF(AND(H101&gt;0,B101=""),1,0)</f>
        <v>0</v>
      </c>
      <c r="K101" s="1869"/>
      <c r="L101" s="2472">
        <f>IF(AND(ABS(G101)+ABS(H101)&gt;0,K101=""),1,0)</f>
        <v>1</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249.774</v>
      </c>
      <c r="D106" s="117">
        <f t="shared" si="13"/>
        <v>249.774</v>
      </c>
      <c r="E106" s="117">
        <f t="shared" si="13"/>
        <v>0</v>
      </c>
      <c r="F106" s="323">
        <f t="shared" si="13"/>
        <v>0</v>
      </c>
      <c r="G106" s="117">
        <f t="shared" si="13"/>
        <v>249.774</v>
      </c>
      <c r="H106" s="117">
        <f t="shared" si="13"/>
        <v>249.774</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t="s">
        <v>1480</v>
      </c>
      <c r="C113" s="27"/>
      <c r="D113" s="27">
        <v>1</v>
      </c>
      <c r="E113" s="397">
        <f t="shared" ref="E113:E123" si="15">+D113-C113</f>
        <v>1</v>
      </c>
      <c r="F113" s="323">
        <f t="shared" ref="F113:F123" si="16">IF(AND(D113&gt;0,B113=""),1,0)</f>
        <v>0</v>
      </c>
      <c r="G113" s="27"/>
      <c r="H113" s="27">
        <v>1</v>
      </c>
      <c r="I113" s="397">
        <f t="shared" ref="I113:I123" si="17">+H113-G113</f>
        <v>1</v>
      </c>
      <c r="J113" s="323">
        <f t="shared" ref="J113:J123" si="18">IF(AND(H113&gt;0,B113=""),1,0)</f>
        <v>0</v>
      </c>
      <c r="K113" s="1869"/>
      <c r="L113" s="2472">
        <f t="shared" ref="L113:L123" si="19">IF(AND(ABS(G113)+ABS(H113)&gt;0,K113=""),1,0)</f>
        <v>1</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t="s">
        <v>1481</v>
      </c>
      <c r="C114" s="27"/>
      <c r="D114" s="27">
        <v>2</v>
      </c>
      <c r="E114" s="397">
        <f t="shared" si="15"/>
        <v>2</v>
      </c>
      <c r="F114" s="323">
        <f t="shared" si="16"/>
        <v>0</v>
      </c>
      <c r="G114" s="27"/>
      <c r="H114" s="27">
        <v>2</v>
      </c>
      <c r="I114" s="397">
        <f t="shared" si="17"/>
        <v>2</v>
      </c>
      <c r="J114" s="323">
        <f t="shared" si="18"/>
        <v>0</v>
      </c>
      <c r="K114" s="1870"/>
      <c r="L114" s="2472">
        <f t="shared" si="19"/>
        <v>1</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t="s">
        <v>1482</v>
      </c>
      <c r="C115" s="27"/>
      <c r="D115" s="27">
        <v>3</v>
      </c>
      <c r="E115" s="397">
        <f t="shared" si="15"/>
        <v>3</v>
      </c>
      <c r="F115" s="323">
        <f t="shared" si="16"/>
        <v>0</v>
      </c>
      <c r="G115" s="27"/>
      <c r="H115" s="27">
        <v>3</v>
      </c>
      <c r="I115" s="397">
        <f t="shared" si="17"/>
        <v>3</v>
      </c>
      <c r="J115" s="323">
        <f>IF(AND(H115&gt;0,B115=""),1,0)</f>
        <v>0</v>
      </c>
      <c r="K115" s="1870"/>
      <c r="L115" s="2472">
        <f t="shared" si="19"/>
        <v>1</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t="s">
        <v>1483</v>
      </c>
      <c r="C116" s="27"/>
      <c r="D116" s="27">
        <v>3</v>
      </c>
      <c r="E116" s="397">
        <f t="shared" si="15"/>
        <v>3</v>
      </c>
      <c r="F116" s="323">
        <f t="shared" si="16"/>
        <v>0</v>
      </c>
      <c r="G116" s="27"/>
      <c r="H116" s="27">
        <v>3</v>
      </c>
      <c r="I116" s="397">
        <f t="shared" si="17"/>
        <v>3</v>
      </c>
      <c r="J116" s="323">
        <f t="shared" si="18"/>
        <v>0</v>
      </c>
      <c r="K116" s="1870"/>
      <c r="L116" s="2472">
        <f t="shared" si="19"/>
        <v>1</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9</v>
      </c>
      <c r="E124" s="117">
        <f t="shared" si="20"/>
        <v>9</v>
      </c>
      <c r="F124" s="323">
        <f t="shared" si="20"/>
        <v>0</v>
      </c>
      <c r="G124" s="117">
        <f t="shared" si="20"/>
        <v>0</v>
      </c>
      <c r="H124" s="117">
        <f t="shared" si="20"/>
        <v>9</v>
      </c>
      <c r="I124" s="117">
        <f t="shared" si="20"/>
        <v>9</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18</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1814.2034800000001</v>
      </c>
      <c r="D129" s="117">
        <f>+D95-SUM(D106+D110+D124)+D126</f>
        <v>1805.2034800000001</v>
      </c>
      <c r="E129" s="117">
        <f>+E95-SUM(E106+E110+E124)+E126</f>
        <v>-9</v>
      </c>
      <c r="F129" s="323"/>
      <c r="G129" s="117">
        <f>+G95-SUM(G106+G110+G124)+G126</f>
        <v>3195.22552</v>
      </c>
      <c r="H129" s="117">
        <f>+H95-SUM(H106+H110+H124)+H126</f>
        <v>3185.4227999999998</v>
      </c>
      <c r="I129" s="117">
        <f>+I95-SUM(I106+I110+I124)+I126</f>
        <v>-9.8027200000001358</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-1639.7965199999999</v>
      </c>
      <c r="E131" s="358"/>
      <c r="F131" s="323"/>
      <c r="G131" s="358"/>
      <c r="H131" s="117">
        <f>+H129-C7</f>
        <v>-259.57720000000018</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P78" sqref="P78"/>
    </sheetView>
  </sheetViews>
  <sheetFormatPr defaultColWidth="8.69140625" defaultRowHeight="15.5"/>
  <cols>
    <col min="1" max="1" width="5.69140625" customWidth="1"/>
    <col min="2" max="2" width="46.53515625" bestFit="1" customWidth="1"/>
    <col min="3" max="3" width="16" customWidth="1"/>
    <col min="21" max="24" width="8.69140625" style="759"/>
    <col min="25" max="25" width="60.07421875" customWidth="1"/>
    <col min="26" max="26" width="91.6914062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Feb 24</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1</v>
      </c>
      <c r="K7" s="1124">
        <f>IF(K6&lt;=VLOOKUP(Summary!$H$1,Summary!$V$1:$W$12,2,FALSE),1,0)</f>
        <v>1</v>
      </c>
      <c r="L7" s="1124">
        <f>IF(L6&lt;=VLOOKUP(Summary!$H$1,Summary!$V$1:$W$12,2,FALSE),1,0)</f>
        <v>1</v>
      </c>
      <c r="M7" s="1124">
        <f>IF(M6&lt;=VLOOKUP(Summary!$H$1,Summary!$V$1:$W$12,2,FALSE),1,0)</f>
        <v>1</v>
      </c>
      <c r="N7" s="1124">
        <f>IF(N6&lt;=VLOOKUP(Summary!$H$1,Summary!$V$1:$W$12,2,FALSE),1,0)</f>
        <v>1</v>
      </c>
      <c r="O7" s="1124">
        <f>IF(O6&lt;=VLOOKUP(Summary!$H$1,Summary!$V$1:$W$12,2,FALSE),1,0)</f>
        <v>1</v>
      </c>
      <c r="P7" s="1124">
        <f>IF(P6&lt;=VLOOKUP(Summary!$H$1,Summary!$V$1:$W$12,2,FALSE),1,0)</f>
        <v>1</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1446</v>
      </c>
      <c r="C12" s="575" t="s">
        <v>1455</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1447</v>
      </c>
      <c r="C13" s="576" t="s">
        <v>1451</v>
      </c>
      <c r="D13" s="27">
        <v>35</v>
      </c>
      <c r="E13" s="27">
        <v>35</v>
      </c>
      <c r="F13" s="27">
        <v>2.8710200000000001</v>
      </c>
      <c r="G13" s="27">
        <v>4.2888400000000004</v>
      </c>
      <c r="H13" s="27">
        <v>5.09192</v>
      </c>
      <c r="I13" s="27">
        <v>3.4153200000000004</v>
      </c>
      <c r="J13" s="27">
        <v>2.9750000000000001</v>
      </c>
      <c r="K13" s="27">
        <v>0</v>
      </c>
      <c r="L13" s="27">
        <v>0</v>
      </c>
      <c r="M13" s="27">
        <v>9.8096299999999985</v>
      </c>
      <c r="N13" s="27">
        <v>5.976</v>
      </c>
      <c r="O13" s="27">
        <v>0</v>
      </c>
      <c r="P13" s="27">
        <v>0</v>
      </c>
      <c r="Q13" s="27">
        <v>0</v>
      </c>
      <c r="R13" s="196">
        <f t="shared" ref="R13:R43" si="4">SUMPRODUCT($F$7:$Q$7,F13:Q13)</f>
        <v>34.427730000000004</v>
      </c>
      <c r="S13" s="196">
        <f t="shared" si="1"/>
        <v>34.427730000000004</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1449</v>
      </c>
      <c r="C14" s="576" t="s">
        <v>1452</v>
      </c>
      <c r="D14" s="27">
        <v>167</v>
      </c>
      <c r="E14" s="27">
        <v>167</v>
      </c>
      <c r="F14" s="27">
        <v>0</v>
      </c>
      <c r="G14" s="27">
        <v>0</v>
      </c>
      <c r="H14" s="27">
        <v>0</v>
      </c>
      <c r="I14" s="27">
        <v>0</v>
      </c>
      <c r="J14" s="27">
        <v>0</v>
      </c>
      <c r="K14" s="27">
        <v>1.27946</v>
      </c>
      <c r="L14" s="27">
        <v>9.5736000000000008</v>
      </c>
      <c r="M14" s="27">
        <v>3.50482</v>
      </c>
      <c r="N14" s="27">
        <v>0</v>
      </c>
      <c r="O14" s="27">
        <v>22.378299999999999</v>
      </c>
      <c r="P14" s="27">
        <v>41.333239999999996</v>
      </c>
      <c r="Q14" s="27">
        <v>89</v>
      </c>
      <c r="R14" s="196">
        <f t="shared" si="4"/>
        <v>78.069420000000008</v>
      </c>
      <c r="S14" s="196">
        <f t="shared" si="1"/>
        <v>167.06942000000001</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1453</v>
      </c>
      <c r="C15" s="576" t="s">
        <v>1452</v>
      </c>
      <c r="D15" s="27">
        <v>283</v>
      </c>
      <c r="E15" s="27">
        <v>283</v>
      </c>
      <c r="F15" s="27">
        <v>0</v>
      </c>
      <c r="G15" s="27">
        <v>0</v>
      </c>
      <c r="H15" s="27">
        <v>0</v>
      </c>
      <c r="I15" s="27">
        <v>0</v>
      </c>
      <c r="J15" s="27">
        <v>0</v>
      </c>
      <c r="K15" s="27">
        <v>0</v>
      </c>
      <c r="L15" s="27">
        <v>177.75447</v>
      </c>
      <c r="M15" s="27">
        <v>0</v>
      </c>
      <c r="N15" s="27">
        <v>105.23550999999999</v>
      </c>
      <c r="O15" s="27">
        <v>-1.0000000000000001E-5</v>
      </c>
      <c r="P15" s="27">
        <v>0</v>
      </c>
      <c r="Q15" s="27">
        <v>0</v>
      </c>
      <c r="R15" s="196">
        <f t="shared" si="4"/>
        <v>282.98997000000003</v>
      </c>
      <c r="S15" s="196">
        <f t="shared" si="1"/>
        <v>282.98997000000003</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t="s">
        <v>1478</v>
      </c>
      <c r="C16" s="576" t="s">
        <v>1484</v>
      </c>
      <c r="D16" s="27">
        <v>447</v>
      </c>
      <c r="E16" s="27">
        <v>447</v>
      </c>
      <c r="F16" s="27"/>
      <c r="G16" s="27"/>
      <c r="H16" s="27"/>
      <c r="I16" s="27"/>
      <c r="J16" s="27"/>
      <c r="K16" s="27"/>
      <c r="L16" s="27"/>
      <c r="M16" s="27">
        <v>0</v>
      </c>
      <c r="N16" s="27">
        <v>0</v>
      </c>
      <c r="O16" s="27">
        <v>0</v>
      </c>
      <c r="P16" s="27">
        <v>31.50732</v>
      </c>
      <c r="Q16" s="27">
        <v>415</v>
      </c>
      <c r="R16" s="196">
        <f t="shared" si="4"/>
        <v>31.50732</v>
      </c>
      <c r="S16" s="196">
        <f t="shared" si="1"/>
        <v>446.50731999999999</v>
      </c>
      <c r="T16" s="6" t="s">
        <v>101</v>
      </c>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t="s">
        <v>1479</v>
      </c>
      <c r="C17" s="576" t="s">
        <v>1484</v>
      </c>
      <c r="D17" s="27">
        <v>319</v>
      </c>
      <c r="E17" s="27">
        <v>319</v>
      </c>
      <c r="F17" s="27"/>
      <c r="G17" s="27"/>
      <c r="H17" s="27"/>
      <c r="I17" s="27"/>
      <c r="J17" s="27"/>
      <c r="K17" s="27"/>
      <c r="L17" s="27"/>
      <c r="M17" s="27">
        <v>0</v>
      </c>
      <c r="N17" s="27">
        <v>0</v>
      </c>
      <c r="O17" s="27">
        <v>0</v>
      </c>
      <c r="P17" s="27">
        <v>0</v>
      </c>
      <c r="Q17" s="27">
        <v>319.20772999999997</v>
      </c>
      <c r="R17" s="196">
        <f t="shared" si="4"/>
        <v>0</v>
      </c>
      <c r="S17" s="196">
        <f t="shared" si="1"/>
        <v>319.20772999999997</v>
      </c>
      <c r="T17" s="6" t="s">
        <v>101</v>
      </c>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1448</v>
      </c>
      <c r="C19" s="576" t="s">
        <v>1456</v>
      </c>
      <c r="D19" s="27"/>
      <c r="E19" s="27"/>
      <c r="F19" s="27"/>
      <c r="G19" s="27"/>
      <c r="H19" s="27"/>
      <c r="I19" s="27"/>
      <c r="J19" s="27"/>
      <c r="K19" s="27"/>
      <c r="L19" s="27"/>
      <c r="M19" s="27"/>
      <c r="N19" s="27"/>
      <c r="O19" s="27"/>
      <c r="P19" s="27"/>
      <c r="Q19" s="27"/>
      <c r="R19" s="196">
        <f t="shared" si="4"/>
        <v>0</v>
      </c>
      <c r="S19" s="196">
        <f t="shared" si="1"/>
        <v>0</v>
      </c>
      <c r="T19" s="6" t="s">
        <v>101</v>
      </c>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t="s">
        <v>1472</v>
      </c>
      <c r="C20" s="576" t="s">
        <v>1473</v>
      </c>
      <c r="D20" s="27">
        <v>160</v>
      </c>
      <c r="E20" s="27">
        <v>160</v>
      </c>
      <c r="F20" s="27"/>
      <c r="G20" s="27"/>
      <c r="H20" s="27"/>
      <c r="I20" s="27"/>
      <c r="J20" s="27"/>
      <c r="K20" s="27">
        <v>0</v>
      </c>
      <c r="L20" s="27">
        <v>0</v>
      </c>
      <c r="M20" s="27">
        <v>0</v>
      </c>
      <c r="N20" s="27">
        <v>0</v>
      </c>
      <c r="O20" s="27">
        <v>0</v>
      </c>
      <c r="P20" s="27">
        <v>101.52</v>
      </c>
      <c r="Q20" s="27">
        <v>58</v>
      </c>
      <c r="R20" s="196">
        <f t="shared" si="4"/>
        <v>101.52</v>
      </c>
      <c r="S20" s="196">
        <f t="shared" si="1"/>
        <v>159.51999999999998</v>
      </c>
      <c r="T20" s="6" t="s">
        <v>101</v>
      </c>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1411</v>
      </c>
      <c r="E45" s="117">
        <f t="shared" ref="E45:S45" si="9">SUM(E12:E44)</f>
        <v>1411</v>
      </c>
      <c r="F45" s="117">
        <f t="shared" si="9"/>
        <v>2.8710200000000001</v>
      </c>
      <c r="G45" s="117">
        <f t="shared" si="9"/>
        <v>4.2888400000000004</v>
      </c>
      <c r="H45" s="117">
        <f t="shared" si="9"/>
        <v>5.09192</v>
      </c>
      <c r="I45" s="117">
        <f t="shared" si="9"/>
        <v>3.4153200000000004</v>
      </c>
      <c r="J45" s="117">
        <f t="shared" si="9"/>
        <v>2.9750000000000001</v>
      </c>
      <c r="K45" s="117">
        <f t="shared" si="9"/>
        <v>1.27946</v>
      </c>
      <c r="L45" s="117">
        <f t="shared" si="9"/>
        <v>187.32807</v>
      </c>
      <c r="M45" s="117">
        <f t="shared" si="9"/>
        <v>13.314449999999999</v>
      </c>
      <c r="N45" s="117">
        <f t="shared" si="9"/>
        <v>111.21150999999999</v>
      </c>
      <c r="O45" s="117">
        <f t="shared" si="9"/>
        <v>22.37829</v>
      </c>
      <c r="P45" s="117">
        <f t="shared" si="9"/>
        <v>174.36055999999999</v>
      </c>
      <c r="Q45" s="117">
        <f t="shared" si="9"/>
        <v>881.20772999999997</v>
      </c>
      <c r="R45" s="117">
        <f>SUM(R12:R44)</f>
        <v>528.51444000000004</v>
      </c>
      <c r="S45" s="117">
        <f t="shared" si="9"/>
        <v>1409.72217</v>
      </c>
      <c r="T45" s="616">
        <f>+'I - Capital RLM'!D60</f>
        <v>528.51481000000001</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2.9750000000000001</v>
      </c>
      <c r="K46" s="323">
        <f>IF('B - Monthly Positions'!I$7=1,'J - Capital In Year Schemes'!K45,0)</f>
        <v>1.27946</v>
      </c>
      <c r="L46" s="323">
        <f>IF('B - Monthly Positions'!J$7=1,'J - Capital In Year Schemes'!L45,0)</f>
        <v>187.32807</v>
      </c>
      <c r="M46" s="323">
        <f>IF('B - Monthly Positions'!K$7=1,'J - Capital In Year Schemes'!M45,0)</f>
        <v>13.314449999999999</v>
      </c>
      <c r="N46" s="323">
        <f>IF('B - Monthly Positions'!L$7=1,'J - Capital In Year Schemes'!N45,0)</f>
        <v>111.21150999999999</v>
      </c>
      <c r="O46" s="323">
        <f>IF('B - Monthly Positions'!M$7=1,'J - Capital In Year Schemes'!O45,0)</f>
        <v>22.37829</v>
      </c>
      <c r="P46" s="323">
        <f>IF('B - Monthly Positions'!N$7=1,'J - Capital In Year Schemes'!P45,0)</f>
        <v>174.36055999999999</v>
      </c>
      <c r="Q46" s="323">
        <f>IF('B - Monthly Positions'!O$7=1,'J - Capital In Year Schemes'!Q45,0)</f>
        <v>0</v>
      </c>
      <c r="R46" s="323"/>
      <c r="S46" s="323"/>
      <c r="T46" s="614">
        <f>SUM(F46:Q46)</f>
        <v>528.51443999999992</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1454</v>
      </c>
      <c r="D48" s="32">
        <v>941.61424</v>
      </c>
      <c r="E48" s="27">
        <v>941.61424</v>
      </c>
      <c r="F48" s="27">
        <v>1.0383499999999999</v>
      </c>
      <c r="G48" s="27">
        <v>0</v>
      </c>
      <c r="H48" s="27">
        <v>0</v>
      </c>
      <c r="I48" s="27">
        <v>4.6020000000000003</v>
      </c>
      <c r="J48" s="27">
        <v>0</v>
      </c>
      <c r="K48" s="27">
        <v>0</v>
      </c>
      <c r="L48" s="27">
        <v>0</v>
      </c>
      <c r="M48" s="27">
        <v>13.642799999999999</v>
      </c>
      <c r="N48" s="27">
        <v>197.20842000000002</v>
      </c>
      <c r="O48" s="27">
        <v>167.0908</v>
      </c>
      <c r="P48" s="27">
        <v>206.63675000000001</v>
      </c>
      <c r="Q48" s="27">
        <v>352</v>
      </c>
      <c r="R48" s="196">
        <f>SUMPRODUCT($F$7:$Q$7,F48:Q48)</f>
        <v>590.21911999999998</v>
      </c>
      <c r="S48" s="196">
        <f>SUM(F48:Q48)</f>
        <v>942.21911999999998</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1454</v>
      </c>
      <c r="D49" s="32">
        <v>142.35594</v>
      </c>
      <c r="E49" s="27">
        <v>142.35594</v>
      </c>
      <c r="F49" s="27">
        <v>0</v>
      </c>
      <c r="G49" s="27">
        <v>0</v>
      </c>
      <c r="H49" s="27">
        <v>0</v>
      </c>
      <c r="I49" s="27">
        <v>0</v>
      </c>
      <c r="J49" s="27">
        <v>32.7072</v>
      </c>
      <c r="K49" s="27">
        <v>61.893160000000002</v>
      </c>
      <c r="L49" s="27">
        <v>4.38</v>
      </c>
      <c r="M49" s="27">
        <v>19.136599999999998</v>
      </c>
      <c r="N49" s="27">
        <v>10.586200000000002</v>
      </c>
      <c r="O49" s="27">
        <v>-0.624</v>
      </c>
      <c r="P49" s="27">
        <v>6.2071999999999994</v>
      </c>
      <c r="Q49" s="27">
        <v>8</v>
      </c>
      <c r="R49" s="196">
        <f>SUMPRODUCT($F$7:$Q$7,F49:Q49)</f>
        <v>134.28636</v>
      </c>
      <c r="S49" s="196">
        <f>SUM(F49:Q49)</f>
        <v>142.28636</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1452</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1452</v>
      </c>
      <c r="D51" s="32">
        <v>78.971929999999986</v>
      </c>
      <c r="E51" s="27">
        <v>78.971929999999986</v>
      </c>
      <c r="F51" s="27">
        <v>0</v>
      </c>
      <c r="G51" s="27">
        <v>0</v>
      </c>
      <c r="H51" s="27">
        <v>0</v>
      </c>
      <c r="I51" s="27">
        <v>11.16</v>
      </c>
      <c r="J51" s="27">
        <v>1</v>
      </c>
      <c r="K51" s="27">
        <v>-0.216</v>
      </c>
      <c r="L51" s="27">
        <v>3.9605999999999999</v>
      </c>
      <c r="M51" s="27">
        <v>3</v>
      </c>
      <c r="N51" s="27">
        <v>0</v>
      </c>
      <c r="O51" s="27">
        <v>14.976000000000001</v>
      </c>
      <c r="P51" s="27">
        <v>0</v>
      </c>
      <c r="Q51" s="27">
        <v>45</v>
      </c>
      <c r="R51" s="196">
        <f>SUMPRODUCT($F$7:$Q$7,F51:Q51)</f>
        <v>33.880600000000001</v>
      </c>
      <c r="S51" s="196">
        <f>SUM(F51:Q51)</f>
        <v>78.880600000000001</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1454</v>
      </c>
      <c r="D52" s="33">
        <v>94.057410000000004</v>
      </c>
      <c r="E52" s="28">
        <v>94.057410000000004</v>
      </c>
      <c r="F52" s="28">
        <v>0</v>
      </c>
      <c r="G52" s="28">
        <v>6.0310000000000002E-2</v>
      </c>
      <c r="H52" s="28">
        <v>-0.27972000000000002</v>
      </c>
      <c r="I52" s="28">
        <v>0</v>
      </c>
      <c r="J52" s="28">
        <v>0</v>
      </c>
      <c r="K52" s="28">
        <v>0</v>
      </c>
      <c r="L52" s="28">
        <v>0</v>
      </c>
      <c r="M52" s="28">
        <v>0</v>
      </c>
      <c r="N52" s="28">
        <v>0</v>
      </c>
      <c r="O52" s="28">
        <v>0.4</v>
      </c>
      <c r="P52" s="28">
        <v>0</v>
      </c>
      <c r="Q52" s="28">
        <v>93.5</v>
      </c>
      <c r="R52" s="118">
        <f>SUMPRODUCT($F$7:$Q$7,F52:Q52)</f>
        <v>0.18059</v>
      </c>
      <c r="S52" s="118">
        <f>SUM(F52:Q52)</f>
        <v>93.680589999999995</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1256.9995199999998</v>
      </c>
      <c r="E53" s="117">
        <f t="shared" ref="E53:S53" si="10">SUM(E48:E52)</f>
        <v>1256.9995199999998</v>
      </c>
      <c r="F53" s="117">
        <f t="shared" si="10"/>
        <v>1.0383499999999999</v>
      </c>
      <c r="G53" s="117">
        <f t="shared" si="10"/>
        <v>6.0310000000000002E-2</v>
      </c>
      <c r="H53" s="117">
        <f t="shared" si="10"/>
        <v>-0.27972000000000002</v>
      </c>
      <c r="I53" s="117">
        <f t="shared" si="10"/>
        <v>15.762</v>
      </c>
      <c r="J53" s="117">
        <f t="shared" si="10"/>
        <v>33.7072</v>
      </c>
      <c r="K53" s="117">
        <f t="shared" si="10"/>
        <v>61.677160000000001</v>
      </c>
      <c r="L53" s="117">
        <f t="shared" si="10"/>
        <v>8.3406000000000002</v>
      </c>
      <c r="M53" s="117">
        <f t="shared" si="10"/>
        <v>35.779399999999995</v>
      </c>
      <c r="N53" s="117">
        <f t="shared" si="10"/>
        <v>207.79462000000001</v>
      </c>
      <c r="O53" s="117">
        <f t="shared" si="10"/>
        <v>181.84280000000001</v>
      </c>
      <c r="P53" s="117">
        <f t="shared" si="10"/>
        <v>212.84395000000001</v>
      </c>
      <c r="Q53" s="117">
        <f t="shared" si="10"/>
        <v>498.5</v>
      </c>
      <c r="R53" s="117">
        <f t="shared" si="10"/>
        <v>758.56667000000004</v>
      </c>
      <c r="S53" s="117">
        <f t="shared" si="10"/>
        <v>1257.0666699999999</v>
      </c>
      <c r="T53" s="615">
        <f>+'I - Capital RLM'!D69</f>
        <v>758.46266999999989</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33.7072</v>
      </c>
      <c r="K54" s="323">
        <f>IF('B - Monthly Positions'!I$7=1,'J - Capital In Year Schemes'!K53,0)</f>
        <v>61.677160000000001</v>
      </c>
      <c r="L54" s="323">
        <f>IF('B - Monthly Positions'!J$7=1,'J - Capital In Year Schemes'!L53,0)</f>
        <v>8.3406000000000002</v>
      </c>
      <c r="M54" s="323">
        <f>IF('B - Monthly Positions'!K$7=1,'J - Capital In Year Schemes'!M53,0)</f>
        <v>35.779399999999995</v>
      </c>
      <c r="N54" s="323">
        <f>IF('B - Monthly Positions'!L$7=1,'J - Capital In Year Schemes'!N53,0)</f>
        <v>207.79462000000001</v>
      </c>
      <c r="O54" s="323">
        <f>IF('B - Monthly Positions'!M$7=1,'J - Capital In Year Schemes'!O53,0)</f>
        <v>181.84280000000001</v>
      </c>
      <c r="P54" s="323">
        <f>IF('B - Monthly Positions'!N$7=1,'J - Capital In Year Schemes'!P53,0)</f>
        <v>212.84395000000001</v>
      </c>
      <c r="Q54" s="323">
        <f>IF('B - Monthly Positions'!O$7=1,'J - Capital In Year Schemes'!Q53,0)</f>
        <v>0</v>
      </c>
      <c r="R54" s="323"/>
      <c r="S54" s="323"/>
      <c r="T54" s="614">
        <f>SUM(F54:Q54)</f>
        <v>758.56666999999993</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t="s">
        <v>1490</v>
      </c>
      <c r="C56" s="580" t="s">
        <v>1492</v>
      </c>
      <c r="D56" s="32">
        <v>777</v>
      </c>
      <c r="E56" s="27">
        <v>777</v>
      </c>
      <c r="F56" s="27"/>
      <c r="G56" s="27"/>
      <c r="H56" s="27"/>
      <c r="I56" s="27"/>
      <c r="J56" s="27"/>
      <c r="K56" s="27"/>
      <c r="L56" s="27"/>
      <c r="M56" s="27"/>
      <c r="N56" s="27"/>
      <c r="O56" s="27"/>
      <c r="P56" s="27">
        <v>777</v>
      </c>
      <c r="Q56" s="27">
        <v>0</v>
      </c>
      <c r="R56" s="196">
        <f t="shared" ref="R56:R75" si="11">SUMPRODUCT($F$7:$Q$7,F56:Q56)</f>
        <v>777</v>
      </c>
      <c r="S56" s="196">
        <f t="shared" ref="S56:S75" si="12">SUM(F56:Q56)</f>
        <v>777</v>
      </c>
      <c r="T56" s="6" t="s">
        <v>101</v>
      </c>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777</v>
      </c>
      <c r="E76" s="117">
        <f t="shared" ref="E76:S76" si="19">SUM(E56:E75)</f>
        <v>777</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777</v>
      </c>
      <c r="Q76" s="117">
        <f t="shared" si="19"/>
        <v>0</v>
      </c>
      <c r="R76" s="117">
        <f t="shared" si="19"/>
        <v>777</v>
      </c>
      <c r="S76" s="117">
        <f t="shared" si="19"/>
        <v>777</v>
      </c>
      <c r="T76" s="615">
        <f>+'I - Capital RLM'!D93</f>
        <v>777</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777</v>
      </c>
      <c r="Q77" s="323">
        <f>IF('B - Monthly Positions'!O$7=1,'J - Capital In Year Schemes'!Q76,0)</f>
        <v>0</v>
      </c>
      <c r="R77" s="155"/>
      <c r="S77" s="155"/>
      <c r="T77" s="614">
        <f>SUM(F77:Q77)</f>
        <v>777</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3444.9995199999998</v>
      </c>
      <c r="E78" s="117">
        <f t="shared" ref="E78:S78" si="20">+E45+E53+E76</f>
        <v>3444.9995199999998</v>
      </c>
      <c r="F78" s="117">
        <f t="shared" si="20"/>
        <v>3.90937</v>
      </c>
      <c r="G78" s="117">
        <f t="shared" si="20"/>
        <v>4.3491500000000007</v>
      </c>
      <c r="H78" s="117">
        <f t="shared" si="20"/>
        <v>4.8121999999999998</v>
      </c>
      <c r="I78" s="117">
        <f t="shared" si="20"/>
        <v>19.177320000000002</v>
      </c>
      <c r="J78" s="117">
        <f t="shared" si="20"/>
        <v>36.682200000000002</v>
      </c>
      <c r="K78" s="117">
        <f t="shared" si="20"/>
        <v>62.956620000000001</v>
      </c>
      <c r="L78" s="117">
        <f t="shared" si="20"/>
        <v>195.66866999999999</v>
      </c>
      <c r="M78" s="117">
        <f t="shared" si="20"/>
        <v>49.093849999999996</v>
      </c>
      <c r="N78" s="117">
        <f t="shared" si="20"/>
        <v>319.00612999999998</v>
      </c>
      <c r="O78" s="117">
        <f t="shared" si="20"/>
        <v>204.22109</v>
      </c>
      <c r="P78" s="117">
        <f t="shared" si="20"/>
        <v>1164.20451</v>
      </c>
      <c r="Q78" s="117">
        <f t="shared" si="20"/>
        <v>1379.7077300000001</v>
      </c>
      <c r="R78" s="117">
        <f>+R45+R53+R76</f>
        <v>2064.0811100000001</v>
      </c>
      <c r="S78" s="117">
        <f t="shared" si="20"/>
        <v>3443.7888400000002</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topLeftCell="A3" zoomScale="70" zoomScaleNormal="70" zoomScaleSheetLayoutView="40" workbookViewId="0">
      <selection activeCell="G20" sqref="G20"/>
    </sheetView>
  </sheetViews>
  <sheetFormatPr defaultColWidth="8.69140625" defaultRowHeight="15.5"/>
  <cols>
    <col min="1" max="1" width="5.07421875" customWidth="1"/>
    <col min="2" max="2" width="54" customWidth="1"/>
    <col min="3" max="5" width="21.69140625" customWidth="1"/>
    <col min="6" max="6" width="10.69140625" customWidth="1"/>
    <col min="8" max="8" width="9.69140625" customWidth="1"/>
    <col min="16" max="16" width="24.07421875" bestFit="1" customWidth="1"/>
    <col min="17" max="20" width="8.69140625" style="753"/>
    <col min="25" max="25" width="44.230468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Feb 24</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t="s">
        <v>1480</v>
      </c>
      <c r="C11" s="574"/>
      <c r="D11" s="574"/>
      <c r="E11" s="1042" t="s">
        <v>1211</v>
      </c>
      <c r="F11" s="4">
        <v>1</v>
      </c>
      <c r="G11" s="4">
        <v>0</v>
      </c>
      <c r="H11" s="3">
        <v>0</v>
      </c>
      <c r="I11" s="167">
        <f>+G11-SUM(F11+H11)</f>
        <v>-1</v>
      </c>
      <c r="J11" s="3259"/>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t="s">
        <v>1485</v>
      </c>
      <c r="C12" s="574"/>
      <c r="D12" s="574"/>
      <c r="E12" s="1040" t="s">
        <v>1211</v>
      </c>
      <c r="F12" s="4">
        <v>0.01</v>
      </c>
      <c r="G12" s="4">
        <v>0</v>
      </c>
      <c r="H12" s="3">
        <v>0</v>
      </c>
      <c r="I12" s="167">
        <f t="shared" ref="I12:I30" si="0">+G12-SUM(F12+H12)</f>
        <v>-0.01</v>
      </c>
      <c r="J12" s="3259"/>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t="s">
        <v>1481</v>
      </c>
      <c r="C13" s="574"/>
      <c r="D13" s="574"/>
      <c r="E13" s="1040" t="s">
        <v>1218</v>
      </c>
      <c r="F13" s="4">
        <v>2</v>
      </c>
      <c r="G13" s="4">
        <v>0</v>
      </c>
      <c r="H13" s="3">
        <v>0</v>
      </c>
      <c r="I13" s="167">
        <f t="shared" si="0"/>
        <v>-2</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t="s">
        <v>1482</v>
      </c>
      <c r="C14" s="574"/>
      <c r="D14" s="574"/>
      <c r="E14" s="1040" t="s">
        <v>1218</v>
      </c>
      <c r="F14" s="4">
        <v>3</v>
      </c>
      <c r="G14" s="4">
        <v>0</v>
      </c>
      <c r="H14" s="3">
        <v>0</v>
      </c>
      <c r="I14" s="167">
        <f t="shared" si="0"/>
        <v>-3</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t="s">
        <v>1483</v>
      </c>
      <c r="C15" s="574"/>
      <c r="D15" s="574"/>
      <c r="E15" s="1040" t="s">
        <v>1211</v>
      </c>
      <c r="F15" s="4">
        <v>3</v>
      </c>
      <c r="G15" s="4">
        <v>0</v>
      </c>
      <c r="H15" s="3">
        <v>0</v>
      </c>
      <c r="I15" s="167">
        <f t="shared" si="0"/>
        <v>-3</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9.01</v>
      </c>
      <c r="G30" s="723">
        <f>SUM(G11:G29)</f>
        <v>0</v>
      </c>
      <c r="H30" s="723">
        <f>SUM(H11:H29)</f>
        <v>0</v>
      </c>
      <c r="I30" s="167">
        <f t="shared" si="0"/>
        <v>-9.01</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zoomScale="90" zoomScaleNormal="90" zoomScaleSheetLayoutView="85" workbookViewId="0">
      <selection activeCell="I14" sqref="I14"/>
    </sheetView>
  </sheetViews>
  <sheetFormatPr defaultColWidth="9.69140625" defaultRowHeight="15.5"/>
  <cols>
    <col min="1" max="1" width="5.69140625" customWidth="1"/>
    <col min="2" max="2" width="58.69140625" customWidth="1"/>
    <col min="3" max="6" width="14.69140625" customWidth="1"/>
    <col min="7" max="7" width="14.69140625" style="753" customWidth="1"/>
    <col min="8" max="8" width="35.69140625" style="753" bestFit="1" customWidth="1"/>
    <col min="9" max="9" width="75.69140625" customWidth="1"/>
    <col min="10" max="10" width="15.53515625" customWidth="1"/>
  </cols>
  <sheetData>
    <row r="1" spans="1:37" ht="38.25" customHeight="1">
      <c r="A1" s="1357" t="str">
        <f>Summary!A1</f>
        <v>Public Health Wales Trust</v>
      </c>
      <c r="B1" s="1641"/>
      <c r="C1" s="71"/>
      <c r="D1" s="150" t="s">
        <v>460</v>
      </c>
      <c r="E1" s="1640" t="str">
        <f>Summary!H1</f>
        <v>Feb 24</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6" t="s">
        <v>192</v>
      </c>
      <c r="B10" s="1627" t="s">
        <v>751</v>
      </c>
      <c r="C10" s="1626" t="s">
        <v>770</v>
      </c>
      <c r="D10" s="1626" t="s">
        <v>769</v>
      </c>
      <c r="E10" s="1625" t="s">
        <v>768</v>
      </c>
      <c r="F10" s="1624" t="s">
        <v>767</v>
      </c>
      <c r="G10" s="1602">
        <f>SUMIF(Summary!V1:V12,E1,Summary!W1:W12)</f>
        <v>11</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4">
        <v>1</v>
      </c>
      <c r="B11" s="1613" t="s">
        <v>766</v>
      </c>
      <c r="C11" s="1611"/>
      <c r="D11" s="1611">
        <f>Summary!D11</f>
        <v>1.6370904631912708E-11</v>
      </c>
      <c r="E11" s="1612">
        <f t="shared" ref="E11:E18" si="0">SUM(D11-C11)</f>
        <v>1.6370904631912708E-11</v>
      </c>
      <c r="F11" s="1611">
        <f>Summary!C11</f>
        <v>105</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4">
        <v>2</v>
      </c>
      <c r="B12" s="1613" t="s">
        <v>765</v>
      </c>
      <c r="C12" s="1611">
        <f>4733+1490</f>
        <v>6223</v>
      </c>
      <c r="D12" s="1611">
        <f>4869+79+1897+197</f>
        <v>7042</v>
      </c>
      <c r="E12" s="1612">
        <f t="shared" si="0"/>
        <v>819</v>
      </c>
      <c r="F12" s="1611">
        <f>4450+80+1431+181</f>
        <v>6142</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4">
        <v>3</v>
      </c>
      <c r="B13" s="1613" t="s">
        <v>764</v>
      </c>
      <c r="C13" s="1611"/>
      <c r="D13" s="1611">
        <f>'B - Monthly Positions'!Q79</f>
        <v>140.84</v>
      </c>
      <c r="E13" s="1612">
        <f>SUM(D13-C13)</f>
        <v>140.84</v>
      </c>
      <c r="F13" s="1611">
        <f>'B - Monthly Positions'!P79</f>
        <v>128.84</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4">
        <v>5</v>
      </c>
      <c r="B15" s="1613" t="s">
        <v>762</v>
      </c>
      <c r="C15" s="1611"/>
      <c r="D15" s="1611">
        <f>'B - Monthly Positions'!Q35</f>
        <v>9.01</v>
      </c>
      <c r="E15" s="1612">
        <f t="shared" si="0"/>
        <v>9.01</v>
      </c>
      <c r="F15" s="1611">
        <f>'B - Monthly Positions'!P35</f>
        <v>9.01</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4">
        <v>10</v>
      </c>
      <c r="B20" s="1613" t="s">
        <v>757</v>
      </c>
      <c r="C20" s="1611">
        <f>-'I - Capital RLM'!G60-'I - Capital RLM'!G69</f>
        <v>-2667.9995199999998</v>
      </c>
      <c r="D20" s="1611">
        <f>C20</f>
        <v>-2667.9995199999998</v>
      </c>
      <c r="E20" s="1612">
        <f>SUM(D20-C20)</f>
        <v>0</v>
      </c>
      <c r="F20" s="1611">
        <f>-'I - Capital RLM'!D95</f>
        <v>-2063.97748</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4">
        <v>11</v>
      </c>
      <c r="B21" s="1622" t="s">
        <v>1262</v>
      </c>
      <c r="C21" s="1611">
        <v>-1445</v>
      </c>
      <c r="D21" s="1611">
        <v>-1766</v>
      </c>
      <c r="E21" s="1612">
        <f>SUM(D21-C21)</f>
        <v>-321</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3">
        <v>12</v>
      </c>
      <c r="B23" s="1613" t="s">
        <v>58</v>
      </c>
      <c r="C23" s="1621"/>
      <c r="D23" s="1621"/>
      <c r="E23" s="1612">
        <f>SUM(D23-C23)</f>
        <v>0</v>
      </c>
      <c r="F23" s="1621">
        <f>'F - SoFP'!C15-'F - SoFP'!D15</f>
        <v>254</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3">
        <v>13</v>
      </c>
      <c r="B24" s="1613" t="s">
        <v>755</v>
      </c>
      <c r="C24" s="1621"/>
      <c r="D24" s="1621"/>
      <c r="E24" s="1612">
        <f>SUM(D24-C24)</f>
        <v>0</v>
      </c>
      <c r="F24" s="1621">
        <f>'F - SoFP'!C16-'F - SoFP'!D16</f>
        <v>-17954</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3">
        <v>14</v>
      </c>
      <c r="B25" s="1613" t="s">
        <v>754</v>
      </c>
      <c r="C25" s="1621"/>
      <c r="D25" s="1621"/>
      <c r="E25" s="1612">
        <f>SUM(D25-C25)</f>
        <v>0</v>
      </c>
      <c r="F25" s="1621">
        <f>'F - SoFP'!D25-'F - SoFP'!C25</f>
        <v>15487</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3">
        <v>16</v>
      </c>
      <c r="B27" s="1622" t="s">
        <v>61</v>
      </c>
      <c r="C27" s="1621"/>
      <c r="D27" s="1621"/>
      <c r="E27" s="1612">
        <f>SUM(D27-C27)</f>
        <v>0</v>
      </c>
      <c r="F27" s="1621">
        <f>('F - SoFP'!D28-'F - SoFP'!C28)+('F - SoFP'!D37-'F - SoFP'!C37)</f>
        <v>321</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19">
        <v>17</v>
      </c>
      <c r="B28" s="1620" t="s">
        <v>752</v>
      </c>
      <c r="C28" s="1616">
        <f>SUM(C23:C27)</f>
        <v>0</v>
      </c>
      <c r="D28" s="1616">
        <f>SUM(D23:D27)</f>
        <v>0</v>
      </c>
      <c r="E28" s="1617">
        <f>SUM(E23:E27)</f>
        <v>0</v>
      </c>
      <c r="F28" s="1616">
        <f>SUM(F23:F27)</f>
        <v>-1892</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19">
        <v>18</v>
      </c>
      <c r="B29" s="1618" t="s">
        <v>751</v>
      </c>
      <c r="C29" s="1616">
        <f>SUM(C11:C27)</f>
        <v>2110.0004800000002</v>
      </c>
      <c r="D29" s="1616">
        <f>SUM(D11:D27)</f>
        <v>2757.8504800000173</v>
      </c>
      <c r="E29" s="1617">
        <f>SUM(E11:E27)</f>
        <v>647.85000000001639</v>
      </c>
      <c r="F29" s="1616">
        <f>SUM(F11:F27)</f>
        <v>2428.8725200000008</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4">
        <v>19</v>
      </c>
      <c r="B31" s="1613" t="s">
        <v>749</v>
      </c>
      <c r="C31" s="1611">
        <f>-C29</f>
        <v>-2110.0004800000002</v>
      </c>
      <c r="D31" s="1611">
        <f>-D29</f>
        <v>-2757.8504800000173</v>
      </c>
      <c r="E31" s="1612">
        <f>SUM(D31-C31)</f>
        <v>-647.85000000001719</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4">
        <v>21</v>
      </c>
      <c r="B33" s="1613" t="s">
        <v>747</v>
      </c>
      <c r="C33" s="1611"/>
      <c r="D33" s="1611"/>
      <c r="E33" s="1612">
        <f>SUM(D33-C33)</f>
        <v>0</v>
      </c>
      <c r="F33" s="1611">
        <f>'F - SoFP'!C18-'F - SoFP'!D18</f>
        <v>-5711</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6">
        <v>23</v>
      </c>
      <c r="B36" s="1605" t="s">
        <v>745</v>
      </c>
      <c r="C36" s="1603">
        <f>SUM(C31:C34)</f>
        <v>-2110.0004800000002</v>
      </c>
      <c r="D36" s="1603">
        <f>SUM(D31:D34)</f>
        <v>-2757.8504800000173</v>
      </c>
      <c r="E36" s="1604">
        <f>SUM(E31:E34)</f>
        <v>-647.85000000001719</v>
      </c>
      <c r="F36" s="1603">
        <f>SUM(F31:F34)</f>
        <v>-5711</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Normal="100" zoomScaleSheetLayoutView="55" workbookViewId="0">
      <selection activeCell="F6" sqref="F6:F7"/>
    </sheetView>
  </sheetViews>
  <sheetFormatPr defaultRowHeight="15.5"/>
  <cols>
    <col min="1" max="1" width="1.4609375" customWidth="1"/>
    <col min="2" max="2" width="48.69140625" customWidth="1"/>
    <col min="3" max="3" width="10.69140625" customWidth="1"/>
    <col min="4" max="4" width="16.69140625" customWidth="1"/>
    <col min="5" max="6" width="14.23046875" customWidth="1"/>
    <col min="7" max="7" width="20.69140625" customWidth="1"/>
    <col min="8" max="8" width="29.53515625" customWidth="1"/>
    <col min="9" max="9" width="22.69140625" customWidth="1"/>
    <col min="10" max="10" width="24.69140625" customWidth="1"/>
    <col min="11" max="11" width="72.53515625" customWidth="1"/>
    <col min="12" max="15" width="8.69140625" style="1452"/>
    <col min="16" max="16" width="50.23046875" style="1452" bestFit="1" customWidth="1"/>
    <col min="17" max="17" width="102.53515625" style="1452" customWidth="1"/>
    <col min="18" max="43" width="8.69140625" style="1452"/>
  </cols>
  <sheetData>
    <row r="1" spans="1:62">
      <c r="A1" s="807"/>
      <c r="B1" s="810" t="str">
        <f>+Summary!A1</f>
        <v>Public Health Wales Trust</v>
      </c>
      <c r="C1" s="881"/>
      <c r="D1" s="882"/>
      <c r="E1" s="882"/>
      <c r="F1" s="883"/>
      <c r="G1" s="808"/>
      <c r="H1" s="814"/>
      <c r="I1" s="1145" t="s">
        <v>461</v>
      </c>
      <c r="J1" s="988" t="str">
        <f>+Summary!H1</f>
        <v>Feb 24</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c r="A2" s="807"/>
      <c r="B2" s="807"/>
      <c r="C2" s="884"/>
      <c r="D2" s="885"/>
      <c r="E2" s="885"/>
      <c r="F2" s="883"/>
      <c r="G2" s="808"/>
      <c r="H2" s="835" t="str">
        <f>"11 weeks before end of "&amp;J1&amp;" ="</f>
        <v>11 weeks before end of Feb 24 =</v>
      </c>
      <c r="I2" s="836">
        <f>VLOOKUP(J1,$BE$1:$BH$12,2,0)</f>
        <v>45274</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Feb 24 =</v>
      </c>
      <c r="I3" s="838">
        <f>VLOOKUP(J1,$BE$1:$BH$12,3,0)</f>
        <v>45232</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401</v>
      </c>
      <c r="C6" s="633">
        <v>50057016</v>
      </c>
      <c r="D6" s="634">
        <v>45258</v>
      </c>
      <c r="E6" s="635">
        <v>73867.850000000006</v>
      </c>
      <c r="F6" s="636">
        <v>73867.850000000006</v>
      </c>
      <c r="G6" s="825" t="str">
        <f>IF(D6="","",IF(D6&gt;$I$2,"No, less than 11 weeks","Yes, valid entry for period"))</f>
        <v>Yes, valid entry for period</v>
      </c>
      <c r="H6" s="826">
        <f>IF(F6="","",IF(D6&lt;$I$3,"",F6))</f>
        <v>73867.850000000006</v>
      </c>
      <c r="I6" s="826" t="str">
        <f>IF(F6="","",IF(D6&gt;=$I$3,"",F6))</f>
        <v/>
      </c>
      <c r="J6" s="827">
        <f>IF(D6="","",SUM(D6+119))</f>
        <v>45377</v>
      </c>
      <c r="K6" s="647" t="s">
        <v>1488</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732</v>
      </c>
      <c r="C7" s="633">
        <v>50057012</v>
      </c>
      <c r="D7" s="634">
        <v>45258</v>
      </c>
      <c r="E7" s="635">
        <v>57264.59</v>
      </c>
      <c r="F7" s="636">
        <v>57264.59</v>
      </c>
      <c r="G7" s="825" t="str">
        <f t="shared" ref="G7:G70" si="2">IF(D7="","",IF(D7&gt;$I$2,"No, less than 11 weeks","Yes, valid entry for period"))</f>
        <v>Yes, valid entry for period</v>
      </c>
      <c r="H7" s="828">
        <f t="shared" ref="H7:H70" si="3">IF(F7="","",IF(D7&lt;$I$3,"",F7))</f>
        <v>57264.59</v>
      </c>
      <c r="I7" s="828" t="str">
        <f t="shared" ref="I7:I70" si="4">IF(F7="","",IF(D7&gt;=$I$3,"",F7))</f>
        <v/>
      </c>
      <c r="J7" s="829">
        <f t="shared" ref="J7:J70" si="5">IF(D7="","",SUM(D7+119))</f>
        <v>45377</v>
      </c>
      <c r="K7" s="647" t="s">
        <v>1487</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c r="C8" s="633"/>
      <c r="D8" s="634"/>
      <c r="E8" s="635"/>
      <c r="F8" s="636"/>
      <c r="G8" s="825" t="str">
        <f t="shared" si="2"/>
        <v/>
      </c>
      <c r="H8" s="828" t="str">
        <f t="shared" si="3"/>
        <v/>
      </c>
      <c r="I8" s="828" t="str">
        <f t="shared" si="4"/>
        <v/>
      </c>
      <c r="J8" s="829" t="str">
        <f t="shared" si="5"/>
        <v/>
      </c>
      <c r="K8" s="647"/>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c r="C9" s="633"/>
      <c r="D9" s="634"/>
      <c r="E9" s="635"/>
      <c r="F9" s="636"/>
      <c r="G9" s="825" t="str">
        <f t="shared" si="2"/>
        <v/>
      </c>
      <c r="H9" s="828" t="str">
        <f t="shared" si="3"/>
        <v/>
      </c>
      <c r="I9" s="828" t="str">
        <f t="shared" si="4"/>
        <v/>
      </c>
      <c r="J9" s="829" t="str">
        <f t="shared" si="5"/>
        <v/>
      </c>
      <c r="K9" s="647"/>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c r="C10" s="633"/>
      <c r="D10" s="634"/>
      <c r="E10" s="635"/>
      <c r="F10" s="636"/>
      <c r="G10" s="825" t="str">
        <f t="shared" si="2"/>
        <v/>
      </c>
      <c r="H10" s="828" t="str">
        <f t="shared" si="3"/>
        <v/>
      </c>
      <c r="I10" s="828" t="str">
        <f t="shared" si="4"/>
        <v/>
      </c>
      <c r="J10" s="829" t="str">
        <f t="shared" si="5"/>
        <v/>
      </c>
      <c r="K10" s="647"/>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c r="C11" s="633"/>
      <c r="D11" s="634"/>
      <c r="E11" s="635"/>
      <c r="F11" s="636"/>
      <c r="G11" s="825" t="str">
        <f t="shared" si="2"/>
        <v/>
      </c>
      <c r="H11" s="828" t="str">
        <f t="shared" si="3"/>
        <v/>
      </c>
      <c r="I11" s="828" t="str">
        <f t="shared" si="4"/>
        <v/>
      </c>
      <c r="J11" s="829" t="str">
        <f t="shared" si="5"/>
        <v/>
      </c>
      <c r="K11" s="647"/>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6" thickBot="1">
      <c r="A151" s="813"/>
      <c r="B151" s="641"/>
      <c r="C151" s="642"/>
      <c r="D151" s="643"/>
      <c r="E151" s="833">
        <f>SUM(E6:E150)</f>
        <v>131132.44</v>
      </c>
      <c r="F151" s="833">
        <f>SUM(F6:F150)</f>
        <v>131132.44</v>
      </c>
      <c r="G151" s="644"/>
      <c r="H151" s="834">
        <f>SUM(H6:H150)</f>
        <v>131132.44</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6" thickBot="1">
      <c r="A157" s="813"/>
      <c r="B157" s="818"/>
      <c r="C157" s="819"/>
      <c r="D157" s="820"/>
      <c r="E157" s="820"/>
      <c r="F157" s="821"/>
      <c r="G157" s="1158" t="s">
        <v>418</v>
      </c>
      <c r="H157" s="1025">
        <f>+H151-H154</f>
        <v>131132.44</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69140625" defaultRowHeight="15" customHeight="1"/>
  <cols>
    <col min="1" max="1" width="59.23046875" customWidth="1"/>
    <col min="2" max="2" width="41.69140625" customWidth="1"/>
    <col min="3" max="3" width="11.53515625" customWidth="1"/>
    <col min="4" max="7" width="16" customWidth="1"/>
    <col min="8" max="8" width="3.69140625" customWidth="1"/>
    <col min="9" max="9" width="15.69140625" customWidth="1"/>
    <col min="16" max="16" width="50.69140625" customWidth="1"/>
    <col min="17" max="17" width="92.4609375" customWidth="1"/>
  </cols>
  <sheetData>
    <row r="1" spans="1:45" ht="25">
      <c r="A1" s="421" t="str">
        <f>+Summary!A1</f>
        <v>Public Health Wales Trust</v>
      </c>
      <c r="B1" s="246"/>
      <c r="C1" s="422"/>
      <c r="D1" s="423" t="str">
        <f>+Summary!G1</f>
        <v>Period :</v>
      </c>
      <c r="E1" s="423" t="str">
        <f>+Summary!H1</f>
        <v>Feb 24</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5" t="s">
        <v>205</v>
      </c>
      <c r="B19" s="3099"/>
      <c r="C19" s="309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5" t="s">
        <v>205</v>
      </c>
      <c r="B24" s="3099"/>
      <c r="C24" s="309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08" t="s">
        <v>205</v>
      </c>
      <c r="B32" s="3108"/>
      <c r="C32" s="3108"/>
      <c r="D32" s="3109"/>
      <c r="E32" s="3109"/>
      <c r="F32" s="3109"/>
      <c r="G32" s="3109"/>
      <c r="H32" s="3109"/>
      <c r="I32" s="3109"/>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114" t="s">
        <v>281</v>
      </c>
      <c r="B42" s="3115"/>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114" t="s">
        <v>215</v>
      </c>
      <c r="B43" s="3115"/>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3" t="s">
        <v>737</v>
      </c>
      <c r="B48" s="3264"/>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128"/>
      <c r="F52" s="3128"/>
      <c r="G52" s="3128"/>
      <c r="H52" s="3128"/>
      <c r="I52" s="3128"/>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130" t="s">
        <v>205</v>
      </c>
      <c r="B65" s="3130"/>
      <c r="C65" s="3130"/>
      <c r="D65" s="3109" t="s">
        <v>205</v>
      </c>
      <c r="E65" s="3109"/>
      <c r="F65" s="3109"/>
      <c r="G65" s="3109"/>
      <c r="H65" s="3109"/>
      <c r="I65" s="3109"/>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114" t="s">
        <v>327</v>
      </c>
      <c r="B67" s="3131"/>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114" t="s">
        <v>281</v>
      </c>
      <c r="B68" s="3131"/>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114" t="s">
        <v>216</v>
      </c>
      <c r="B70" s="3131"/>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114" t="s">
        <v>215</v>
      </c>
      <c r="B71" s="3132"/>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114" t="s">
        <v>229</v>
      </c>
      <c r="B72" s="3132"/>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114" t="s">
        <v>411</v>
      </c>
      <c r="B74" s="3131"/>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114" t="s">
        <v>231</v>
      </c>
      <c r="B75" s="3131"/>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114" t="s">
        <v>329</v>
      </c>
      <c r="B76" s="3131"/>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114" t="s">
        <v>232</v>
      </c>
      <c r="B78" s="3131"/>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114" t="s">
        <v>390</v>
      </c>
      <c r="B79" s="3131"/>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114" t="s">
        <v>799</v>
      </c>
      <c r="B80" s="3131"/>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114" t="s">
        <v>218</v>
      </c>
      <c r="B81" s="3131"/>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114" t="s">
        <v>330</v>
      </c>
      <c r="B82" s="3132"/>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114" t="s">
        <v>412</v>
      </c>
      <c r="B83" s="3132"/>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114" t="s">
        <v>233</v>
      </c>
      <c r="B88" s="3131"/>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114" t="s">
        <v>234</v>
      </c>
      <c r="B89" s="3131"/>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114" t="s">
        <v>331</v>
      </c>
      <c r="B91" s="3132"/>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114" t="s">
        <v>282</v>
      </c>
      <c r="B92" s="3131"/>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114" t="s">
        <v>235</v>
      </c>
      <c r="B94" s="3131"/>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114" t="s">
        <v>236</v>
      </c>
      <c r="B95" s="3131"/>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114" t="s">
        <v>413</v>
      </c>
      <c r="B96" s="3131"/>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114" t="s">
        <v>237</v>
      </c>
      <c r="B100" s="3131"/>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114" t="s">
        <v>238</v>
      </c>
      <c r="B103" s="3131"/>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114" t="s">
        <v>239</v>
      </c>
      <c r="B104" s="3131"/>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114" t="s">
        <v>332</v>
      </c>
      <c r="B105" s="3132"/>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114" t="s">
        <v>333</v>
      </c>
      <c r="B106" s="3132"/>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114" t="s">
        <v>334</v>
      </c>
      <c r="B107" s="3131"/>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114" t="s">
        <v>335</v>
      </c>
      <c r="B109" s="3131"/>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114" t="s">
        <v>801</v>
      </c>
      <c r="B110" s="3131"/>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60"/>
      <c r="B111" s="326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60"/>
      <c r="B112" s="326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60"/>
      <c r="B113" s="326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60"/>
      <c r="B114" s="326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60"/>
      <c r="B115" s="326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60"/>
      <c r="B117" s="326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60"/>
      <c r="B118" s="326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148"/>
      <c r="E129" s="3148"/>
      <c r="F129" s="3148"/>
      <c r="G129" s="3148"/>
      <c r="H129" s="3149"/>
      <c r="I129" s="3148"/>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62"/>
      <c r="B151" s="3155"/>
      <c r="C151" s="3157"/>
      <c r="D151" s="3159"/>
      <c r="E151" s="3159"/>
      <c r="F151" s="3159"/>
      <c r="G151" s="3159"/>
      <c r="H151" s="526"/>
      <c r="I151" s="3159"/>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160" t="s">
        <v>10</v>
      </c>
      <c r="B152" s="3161"/>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160" t="s">
        <v>336</v>
      </c>
      <c r="B154" s="3161"/>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160" t="s">
        <v>337</v>
      </c>
      <c r="B155" s="3161"/>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160" t="s">
        <v>20</v>
      </c>
      <c r="B156" s="3161"/>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160" t="s">
        <v>338</v>
      </c>
      <c r="B158" s="3161"/>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160" t="s">
        <v>339</v>
      </c>
      <c r="B159" s="3161"/>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160" t="s">
        <v>340</v>
      </c>
      <c r="B160" s="3161"/>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160" t="s">
        <v>341</v>
      </c>
      <c r="B161" s="3161"/>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160" t="s">
        <v>1117</v>
      </c>
      <c r="B162" s="3161"/>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6"/>
      <c r="B163" s="3267"/>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6"/>
      <c r="B164" s="3267"/>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6"/>
      <c r="B165" s="3267"/>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6"/>
      <c r="B166" s="3267"/>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6"/>
      <c r="B167" s="3267"/>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6"/>
      <c r="B168" s="3267"/>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6"/>
      <c r="B169" s="3267"/>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70"/>
      <c r="B185" s="3271"/>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70"/>
      <c r="B186" s="3271"/>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70"/>
      <c r="B190" s="3271"/>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8"/>
      <c r="B191" s="3269"/>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168"/>
      <c r="B199" s="3168"/>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169" t="s">
        <v>196</v>
      </c>
      <c r="B200" s="3169"/>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148"/>
      <c r="E203" s="3148"/>
      <c r="F203" s="3148"/>
      <c r="G203" s="3148"/>
      <c r="H203" s="3149"/>
      <c r="I203" s="3148"/>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160" t="s">
        <v>266</v>
      </c>
      <c r="B209" s="3272"/>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69140625" defaultRowHeight="15.5"/>
  <cols>
    <col min="1" max="1" width="55.23046875" customWidth="1"/>
    <col min="2" max="2" width="15.07421875" customWidth="1"/>
    <col min="4" max="7" width="15.69140625" customWidth="1"/>
    <col min="8" max="8" width="2.53515625" customWidth="1"/>
    <col min="9" max="9" width="15.69140625" customWidth="1"/>
    <col min="10" max="10" width="10.69140625" bestFit="1" customWidth="1"/>
    <col min="14" max="14" width="55.23046875" customWidth="1"/>
    <col min="15" max="15" width="82.4609375" customWidth="1"/>
  </cols>
  <sheetData>
    <row r="1" spans="1:59" ht="25">
      <c r="A1" s="421" t="str">
        <f>+Summary!A1</f>
        <v>Public Health Wales Trust</v>
      </c>
      <c r="B1" s="80"/>
      <c r="C1" s="684"/>
      <c r="D1" s="685"/>
      <c r="E1" s="685"/>
      <c r="F1" s="423" t="str">
        <f>+'N - GMS'!D1</f>
        <v>Period :</v>
      </c>
      <c r="G1" s="423" t="str">
        <f>+'N - GMS'!E1</f>
        <v>Feb 24</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3"/>
      <c r="B6" s="693"/>
      <c r="C6" s="693"/>
      <c r="D6" s="3076"/>
      <c r="E6" s="3076"/>
      <c r="F6" s="3076"/>
      <c r="G6" s="3076"/>
      <c r="H6" s="3077"/>
      <c r="I6" s="3076"/>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086" t="s">
        <v>21</v>
      </c>
      <c r="B8" s="3087"/>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01" t="s">
        <v>453</v>
      </c>
      <c r="B21" s="3102"/>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7"/>
      <c r="B52" s="3278"/>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3" t="s">
        <v>205</v>
      </c>
      <c r="B54" s="3274"/>
      <c r="C54" s="3274"/>
      <c r="D54" s="3275" t="s">
        <v>205</v>
      </c>
      <c r="E54" s="3275"/>
      <c r="F54" s="3275"/>
      <c r="G54" s="3275"/>
      <c r="H54" s="3275"/>
      <c r="I54" s="3275"/>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69140625" defaultRowHeight="15.5"/>
  <cols>
    <col min="1" max="1" width="6.69140625" style="1467" customWidth="1"/>
    <col min="2" max="2" width="68.4609375" style="1467" customWidth="1"/>
    <col min="3" max="3" width="31.69140625" style="1467" bestFit="1" customWidth="1"/>
    <col min="4" max="18" width="10.69140625" style="1467" customWidth="1"/>
    <col min="19" max="19" width="8.69140625" style="1467"/>
    <col min="20" max="20" width="13.69140625" style="1467" customWidth="1"/>
    <col min="21" max="21" width="32.69140625" style="1467" bestFit="1" customWidth="1"/>
    <col min="22" max="23" width="8.69140625" style="1467"/>
    <col min="24" max="24" width="10.23046875" style="1467" customWidth="1"/>
    <col min="25" max="27" width="8.69140625" style="1467"/>
    <col min="28" max="28" width="8.69140625" style="2589"/>
    <col min="29" max="29" width="9.53515625" style="1467" customWidth="1"/>
    <col min="30" max="16384" width="8.69140625" style="1467"/>
  </cols>
  <sheetData>
    <row r="1" spans="1:32" ht="30">
      <c r="A1" s="2567" t="str">
        <f>+Summary!A1</f>
        <v>Public Health Wales Trust</v>
      </c>
      <c r="B1" s="2647"/>
      <c r="C1" s="2648"/>
      <c r="D1" s="2649"/>
      <c r="E1" s="2649"/>
      <c r="F1" s="2649"/>
      <c r="G1" s="2649"/>
      <c r="H1" s="2649"/>
      <c r="I1" s="2678" t="s">
        <v>51</v>
      </c>
      <c r="J1" s="2648" t="str">
        <f>+Summary!H1</f>
        <v>Feb 24</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 thickBot="1">
      <c r="A2" s="2650"/>
      <c r="B2" s="2651"/>
      <c r="C2" s="2652">
        <f>VLOOKUP(J1,X1:Y12,2,FALSE)</f>
        <v>11</v>
      </c>
      <c r="D2" s="2652"/>
      <c r="E2" s="2649"/>
      <c r="F2" s="2652">
        <f>IF(F3&lt;=$C$2,1,0)</f>
        <v>1</v>
      </c>
      <c r="G2" s="2652">
        <f t="shared" ref="G2:Q2" si="0">IF(G3&lt;=$C$2,1,0)</f>
        <v>1</v>
      </c>
      <c r="H2" s="2652">
        <f t="shared" si="0"/>
        <v>1</v>
      </c>
      <c r="I2" s="2652">
        <f t="shared" si="0"/>
        <v>1</v>
      </c>
      <c r="J2" s="2652">
        <f t="shared" si="0"/>
        <v>1</v>
      </c>
      <c r="K2" s="2652">
        <f t="shared" si="0"/>
        <v>1</v>
      </c>
      <c r="L2" s="2652">
        <f t="shared" si="0"/>
        <v>1</v>
      </c>
      <c r="M2" s="2652">
        <f t="shared" si="0"/>
        <v>1</v>
      </c>
      <c r="N2" s="2652">
        <f t="shared" si="0"/>
        <v>1</v>
      </c>
      <c r="O2" s="2652">
        <f t="shared" si="0"/>
        <v>1</v>
      </c>
      <c r="P2" s="2652">
        <f t="shared" si="0"/>
        <v>1</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26" t="s">
        <v>1274</v>
      </c>
      <c r="E4" s="3026" t="s">
        <v>1352</v>
      </c>
      <c r="F4" s="3028" t="s">
        <v>1275</v>
      </c>
      <c r="G4" s="3029"/>
      <c r="H4" s="3029"/>
      <c r="I4" s="3029"/>
      <c r="J4" s="3029"/>
      <c r="K4" s="3029"/>
      <c r="L4" s="3029"/>
      <c r="M4" s="3029"/>
      <c r="N4" s="3029"/>
      <c r="O4" s="3029"/>
      <c r="P4" s="3029"/>
      <c r="Q4" s="3030"/>
      <c r="R4" s="2660" t="s">
        <v>78</v>
      </c>
      <c r="S4" s="2660" t="s">
        <v>78</v>
      </c>
      <c r="T4" s="2857" t="s">
        <v>275</v>
      </c>
      <c r="X4" s="2574" t="s">
        <v>1214</v>
      </c>
      <c r="Y4" s="2573">
        <v>4</v>
      </c>
      <c r="Z4" s="2573">
        <v>4</v>
      </c>
      <c r="AA4" s="2573" t="s">
        <v>744</v>
      </c>
      <c r="AB4" s="2573"/>
      <c r="AC4" s="2574" t="s">
        <v>402</v>
      </c>
      <c r="AD4" s="2573" t="s">
        <v>821</v>
      </c>
      <c r="AE4" s="2573" t="s">
        <v>926</v>
      </c>
      <c r="AF4" s="2573"/>
    </row>
    <row r="5" spans="1:32" ht="84.65" customHeight="1" thickBot="1">
      <c r="B5" s="3031" t="s">
        <v>1276</v>
      </c>
      <c r="C5" s="3032"/>
      <c r="D5" s="3027"/>
      <c r="E5" s="3027"/>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5" customHeight="1" thickBot="1">
      <c r="A6" s="2862" t="str">
        <f>$B$6&amp;"_"&amp;C6</f>
        <v>Recovery Funding (£120m)_Plan</v>
      </c>
      <c r="B6" s="3033"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5" customHeight="1" thickBot="1">
      <c r="A7" s="2862" t="str">
        <f>$B$6&amp;"_"&amp;C7</f>
        <v>Recovery Funding (£120m)_Actual/Forecast - not yet committed</v>
      </c>
      <c r="B7" s="3034"/>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5" customHeight="1" thickBot="1">
      <c r="A8" s="2862" t="str">
        <f>$B$6&amp;"_"&amp;C8</f>
        <v>Recovery Funding (£120m)_Actual/Forecast - committed</v>
      </c>
      <c r="B8" s="3034"/>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5" customHeight="1" thickBot="1">
      <c r="A9" s="2862" t="str">
        <f>$B$6&amp;"_"&amp;C9</f>
        <v>Recovery Funding (£120m)_Variance against current plan</v>
      </c>
      <c r="B9" s="3035"/>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5" customHeight="1" thickBot="1">
      <c r="A10" s="2862" t="str">
        <f>$B$10&amp;"_"&amp;C10</f>
        <v>Value Based Funding (£14m)_Plan</v>
      </c>
      <c r="B10" s="3033"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5" customHeight="1" thickBot="1">
      <c r="A11" s="2862" t="str">
        <f>$B$10&amp;"_"&amp;C11</f>
        <v>Value Based Funding (£14m)_Actual/Forecast - not yet committed</v>
      </c>
      <c r="B11" s="3034"/>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5" customHeight="1" thickBot="1">
      <c r="A12" s="2862" t="str">
        <f>$B$10&amp;"_"&amp;C12</f>
        <v>Value Based Funding (£14m)_Actual/Forecast - committed</v>
      </c>
      <c r="B12" s="3034"/>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5" customHeight="1" thickBot="1">
      <c r="A13" s="2862" t="str">
        <f>$B$10&amp;"_"&amp;C13</f>
        <v>Value Based Funding (£14m)_Variance against current plan</v>
      </c>
      <c r="B13" s="3035"/>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5" customHeight="1" thickBot="1">
      <c r="A14" s="2862" t="str">
        <f>$B$14&amp;"_"&amp;C14</f>
        <v>Regional Integration Fund (£132.7m)_Plan</v>
      </c>
      <c r="B14" s="3033"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5" customHeight="1" thickBot="1">
      <c r="A15" s="2862" t="str">
        <f>$B$14&amp;"_"&amp;C15</f>
        <v>Regional Integration Fund (£132.7m)_Actual/Forecast - not yet committed</v>
      </c>
      <c r="B15" s="3034"/>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5" customHeight="1" thickBot="1">
      <c r="A16" s="2862" t="str">
        <f>$B$14&amp;"_"&amp;C16</f>
        <v>Regional Integration Fund (£132.7m)_Actual/Forecast - committed</v>
      </c>
      <c r="B16" s="3034"/>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5" customHeight="1" thickBot="1">
      <c r="A17" s="2862" t="str">
        <f>$B$14&amp;"_"&amp;C17</f>
        <v>Regional Integration Fund (£132.7m)_Variance against current plan</v>
      </c>
      <c r="B17" s="3035"/>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6" thickBot="1">
      <c r="A18" s="2862" t="str">
        <f>$B$18&amp;"_"&amp;C18</f>
        <v>Genomics for Precision Medicine Strategy (£10.1m)_Plan</v>
      </c>
      <c r="B18" s="3033"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6" thickBot="1">
      <c r="A19" s="2862" t="str">
        <f t="shared" ref="A19:A21" si="34">$B$18&amp;"_"&amp;C19</f>
        <v>Genomics for Precision Medicine Strategy (£10.1m)_Actual/Forecast - not yet committed</v>
      </c>
      <c r="B19" s="3034"/>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6" thickBot="1">
      <c r="A20" s="2862" t="str">
        <f t="shared" si="34"/>
        <v>Genomics for Precision Medicine Strategy (£10.1m)_Actual/Forecast - committed</v>
      </c>
      <c r="B20" s="3034"/>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6" thickBot="1">
      <c r="A21" s="2862" t="str">
        <f t="shared" si="34"/>
        <v>Genomics for Precision Medicine Strategy (£10.1m)_Variance against current plan</v>
      </c>
      <c r="B21" s="3035"/>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7" customHeight="1" thickBot="1">
      <c r="A22" s="2862" t="str">
        <f>$B$22&amp;"_"&amp;C22</f>
        <v>Critical Care Funding (£18.7m)_Plan</v>
      </c>
      <c r="B22" s="3033"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7" customHeight="1" thickBot="1">
      <c r="A23" s="2862" t="str">
        <f t="shared" ref="A23:A25" si="50">$B$22&amp;"_"&amp;C23</f>
        <v>Critical Care Funding (£18.7m)_Actual/Forecast - not yet committed</v>
      </c>
      <c r="B23" s="3034"/>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7" customHeight="1" thickBot="1">
      <c r="A24" s="2862" t="str">
        <f t="shared" si="50"/>
        <v>Critical Care Funding (£18.7m)_Actual/Forecast - committed</v>
      </c>
      <c r="B24" s="3034"/>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7" customHeight="1" thickBot="1">
      <c r="A25" s="2862" t="str">
        <f t="shared" si="50"/>
        <v>Critical Care Funding (£18.7m)_Variance against current plan</v>
      </c>
      <c r="B25" s="3035"/>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7"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7" customHeight="1" thickBot="1">
      <c r="A27" s="2607"/>
      <c r="AB27" s="1467"/>
      <c r="AC27" s="2589"/>
    </row>
    <row r="28" spans="1:29" ht="17" customHeight="1" thickBot="1">
      <c r="A28" s="2607"/>
      <c r="C28" s="2664" t="s">
        <v>289</v>
      </c>
      <c r="D28" s="3021" t="s">
        <v>1274</v>
      </c>
      <c r="E28" s="3021" t="s">
        <v>1352</v>
      </c>
      <c r="F28" s="3023" t="s">
        <v>1275</v>
      </c>
      <c r="G28" s="3024"/>
      <c r="H28" s="3024"/>
      <c r="I28" s="3024"/>
      <c r="J28" s="3024"/>
      <c r="K28" s="3024"/>
      <c r="L28" s="3024"/>
      <c r="M28" s="3024"/>
      <c r="N28" s="3024"/>
      <c r="O28" s="3024"/>
      <c r="P28" s="3024"/>
      <c r="Q28" s="3025"/>
      <c r="R28" s="2666" t="s">
        <v>78</v>
      </c>
      <c r="S28" s="2667" t="s">
        <v>78</v>
      </c>
      <c r="T28" s="2857" t="s">
        <v>275</v>
      </c>
      <c r="AB28" s="1467"/>
      <c r="AC28" s="2589"/>
    </row>
    <row r="29" spans="1:29" ht="79.25" customHeight="1" thickBot="1">
      <c r="A29" s="2607"/>
      <c r="B29" s="3031" t="s">
        <v>1292</v>
      </c>
      <c r="C29" s="3036"/>
      <c r="D29" s="3022"/>
      <c r="E29" s="3022"/>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7" customHeight="1" thickBot="1">
      <c r="A30" s="2862" t="str">
        <f>$B$30&amp;"_"&amp;C30</f>
        <v>Urgent Emergency Care Allocations_Plan</v>
      </c>
      <c r="B30" s="3037"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7" customHeight="1" thickBot="1">
      <c r="A31" s="2862" t="str">
        <f t="shared" ref="A31:A33" si="66">$B$30&amp;"_"&amp;C31</f>
        <v>Urgent Emergency Care Allocations_Actual/Forecast - not yet committed</v>
      </c>
      <c r="B31" s="3019"/>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7" customHeight="1" thickBot="1">
      <c r="A32" s="2862" t="str">
        <f t="shared" si="66"/>
        <v>Urgent Emergency Care Allocations_Actual/Forecast - committed</v>
      </c>
      <c r="B32" s="3019"/>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7" customHeight="1" thickBot="1">
      <c r="A33" s="2862" t="str">
        <f t="shared" si="66"/>
        <v>Urgent Emergency Care Allocations_Variance against current plan</v>
      </c>
      <c r="B33" s="3019"/>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7" customHeight="1" thickBot="1">
      <c r="A34" s="2862" t="str">
        <f>$B$34&amp;"_"&amp;C34</f>
        <v>Mental Health (SIF) Allocations_Plan</v>
      </c>
      <c r="B34" s="3018"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7" customHeight="1" thickBot="1">
      <c r="A35" s="2862" t="str">
        <f t="shared" ref="A35:A37" si="82">$B$34&amp;"_"&amp;C35</f>
        <v>Mental Health (SIF) Allocations_Actual/Forecast - not yet committed</v>
      </c>
      <c r="B35" s="3019"/>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7" customHeight="1" thickBot="1">
      <c r="A36" s="2862" t="str">
        <f t="shared" si="82"/>
        <v>Mental Health (SIF) Allocations_Actual/Forecast - committed</v>
      </c>
      <c r="B36" s="3019"/>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7" customHeight="1" thickBot="1">
      <c r="A37" s="2862" t="str">
        <f t="shared" si="82"/>
        <v>Mental Health (SIF) Allocations_Variance against current plan</v>
      </c>
      <c r="B37" s="3019"/>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7" customHeight="1" thickBot="1">
      <c r="A38" s="2862" t="str">
        <f>$B$38&amp;"_"&amp;C38</f>
        <v>Planned Care_Plan</v>
      </c>
      <c r="B38" s="3018"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7" customHeight="1" thickBot="1">
      <c r="A39" s="2862" t="str">
        <f t="shared" ref="A39:A41" si="98">$B$38&amp;"_"&amp;C39</f>
        <v>Planned Care_Actual/Forecast - not yet committed</v>
      </c>
      <c r="B39" s="3019"/>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7" customHeight="1" thickBot="1">
      <c r="A40" s="2862" t="str">
        <f t="shared" si="98"/>
        <v>Planned Care_Actual/Forecast - committed</v>
      </c>
      <c r="B40" s="3019"/>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7" customHeight="1" thickBot="1">
      <c r="A41" s="2862" t="str">
        <f t="shared" si="98"/>
        <v>Planned Care_Variance against current plan</v>
      </c>
      <c r="B41" s="3019"/>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6" thickBot="1">
      <c r="A42" s="2862" t="str">
        <f>$B$42&amp;"_"&amp;C42</f>
        <v>Value Based Health Care_Plan</v>
      </c>
      <c r="B42" s="3018"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5" customHeight="1" thickBot="1">
      <c r="A43" s="2862" t="str">
        <f t="shared" ref="A43:A45" si="114">$B$42&amp;"_"&amp;C43</f>
        <v>Value Based Health Care_Actual/Forecast - not yet committed</v>
      </c>
      <c r="B43" s="3019"/>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5" customHeight="1" thickBot="1">
      <c r="A44" s="2862" t="str">
        <f t="shared" si="114"/>
        <v>Value Based Health Care_Actual/Forecast - committed</v>
      </c>
      <c r="B44" s="3019"/>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019"/>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018"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019"/>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019"/>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019"/>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c r="A55" s="2607"/>
      <c r="B55" s="2659" t="s">
        <v>1297</v>
      </c>
      <c r="AB55" s="1467"/>
      <c r="AC55" s="2589"/>
    </row>
    <row r="56" spans="1:29" ht="16" thickBot="1">
      <c r="A56" s="2607"/>
      <c r="B56" s="2659"/>
      <c r="AB56" s="1467"/>
      <c r="AC56" s="2589"/>
    </row>
    <row r="57" spans="1:29" ht="16.25" customHeight="1" thickBot="1">
      <c r="A57" s="2607"/>
      <c r="C57" s="2659"/>
      <c r="D57" s="3021" t="s">
        <v>1274</v>
      </c>
      <c r="E57" s="3021" t="s">
        <v>1352</v>
      </c>
      <c r="F57" s="3023" t="s">
        <v>1298</v>
      </c>
      <c r="G57" s="3024"/>
      <c r="H57" s="3024"/>
      <c r="I57" s="3024"/>
      <c r="J57" s="3024"/>
      <c r="K57" s="3024"/>
      <c r="L57" s="3024"/>
      <c r="M57" s="3024"/>
      <c r="N57" s="3024"/>
      <c r="O57" s="3024"/>
      <c r="P57" s="3024"/>
      <c r="Q57" s="3025"/>
      <c r="R57" s="2666" t="s">
        <v>78</v>
      </c>
      <c r="S57" s="2667" t="s">
        <v>78</v>
      </c>
      <c r="AB57" s="1467"/>
      <c r="AC57" s="2589"/>
    </row>
    <row r="58" spans="1:29" ht="31.5" thickBot="1">
      <c r="A58" s="2607"/>
      <c r="B58" s="2676" t="s">
        <v>1299</v>
      </c>
      <c r="C58" s="2677" t="s">
        <v>1300</v>
      </c>
      <c r="D58" s="3022"/>
      <c r="E58" s="3022"/>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6" thickBot="1">
      <c r="A67" s="2607"/>
    </row>
    <row r="68" spans="1:29" ht="31.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6" thickBot="1">
      <c r="A76" s="2607">
        <f t="shared" si="167"/>
        <v>0</v>
      </c>
      <c r="B76" s="2682"/>
      <c r="C76" s="2709"/>
    </row>
    <row r="77" spans="1:29" ht="16" thickBot="1">
      <c r="A77" s="2607" t="str">
        <f>B68&amp;"_"&amp;B77</f>
        <v>Mental Health (SIF) Allocations (Confirm in below text 'Allocated' or 'Anticipated')_Total</v>
      </c>
      <c r="B77" s="2675" t="s">
        <v>78</v>
      </c>
      <c r="C77" s="1100">
        <f>SUM(C69:C76)</f>
        <v>0</v>
      </c>
      <c r="D77" s="1467" t="str">
        <f>IF(C77-E34=0,"","check")</f>
        <v/>
      </c>
    </row>
    <row r="78" spans="1:29" ht="16" thickBot="1">
      <c r="A78" s="2607"/>
    </row>
    <row r="79" spans="1:29" ht="16"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6" thickBot="1">
      <c r="A87" s="2607">
        <f t="shared" si="168"/>
        <v>0</v>
      </c>
      <c r="B87" s="2685"/>
      <c r="C87" s="2709"/>
    </row>
    <row r="88" spans="1:4" ht="16" thickBot="1">
      <c r="A88" s="2607" t="str">
        <f>B79&amp;"_"&amp;B88</f>
        <v>Planned Care (Confirm in below text 'Allocated' or 'Anticipated')_Total</v>
      </c>
      <c r="B88" s="2675" t="s">
        <v>78</v>
      </c>
      <c r="C88" s="1100">
        <f>SUM(C80:C87)</f>
        <v>0</v>
      </c>
      <c r="D88" s="1467" t="str">
        <f>IF(C88-E38=0,"","check")</f>
        <v/>
      </c>
    </row>
    <row r="89" spans="1:4" ht="16" thickBot="1">
      <c r="A89" s="2607"/>
    </row>
    <row r="90" spans="1:4" ht="31.5"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6" thickBot="1">
      <c r="A97" s="2607">
        <f t="shared" si="169"/>
        <v>0</v>
      </c>
      <c r="B97" s="2685"/>
      <c r="C97" s="2708"/>
    </row>
    <row r="98" spans="1:4" ht="16" thickBot="1">
      <c r="A98" s="2607" t="str">
        <f>B90&amp;"_"&amp;B98</f>
        <v>Value Based Health Care (Confirm in below text 'Allocated' or 'Anticipated')_Total</v>
      </c>
      <c r="B98" s="2675" t="s">
        <v>78</v>
      </c>
      <c r="C98" s="1100">
        <f>SUM(C91:C97)</f>
        <v>0</v>
      </c>
      <c r="D98" s="1467" t="str">
        <f>IF(C98-E42=0,"","check")</f>
        <v/>
      </c>
    </row>
    <row r="99" spans="1:4">
      <c r="A99" s="2607"/>
    </row>
    <row r="100" spans="1:4" ht="16" thickBot="1">
      <c r="A100" s="2607"/>
    </row>
    <row r="101" spans="1:4" ht="16"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6" thickBot="1">
      <c r="A108" s="2607">
        <f t="shared" si="170"/>
        <v>0</v>
      </c>
      <c r="B108" s="2685"/>
      <c r="C108" s="2708"/>
    </row>
    <row r="109" spans="1:4" ht="16" thickBot="1">
      <c r="A109" s="2607" t="str">
        <f>B101&amp;"_"&amp;B109</f>
        <v>Recovery (Confirm in below text 'Allocated' or 'Anticipated')_Total</v>
      </c>
      <c r="B109" s="2675" t="s">
        <v>78</v>
      </c>
      <c r="C109" s="1100">
        <f>SUM(C102:C108)</f>
        <v>0</v>
      </c>
      <c r="D109" s="1467" t="str">
        <f>IF(C109-E46=0,"","check")</f>
        <v/>
      </c>
    </row>
    <row r="110" spans="1:4">
      <c r="A110" s="2607"/>
    </row>
    <row r="111" spans="1:4" ht="16" thickBot="1">
      <c r="A111" s="2607"/>
    </row>
    <row r="112" spans="1:4" ht="16"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6" thickBot="1">
      <c r="A119" s="2607">
        <f t="shared" si="171"/>
        <v>0</v>
      </c>
      <c r="B119" s="2685"/>
      <c r="C119" s="2708"/>
    </row>
    <row r="120" spans="1:4" ht="1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69140625" defaultRowHeight="15.5"/>
  <cols>
    <col min="1" max="1" width="3.23046875" style="1680" customWidth="1"/>
    <col min="2" max="2" width="99.69140625" customWidth="1"/>
    <col min="20" max="20" width="100.07421875" customWidth="1"/>
    <col min="21" max="21" width="71.23046875" customWidth="1"/>
  </cols>
  <sheetData>
    <row r="1" spans="1:37" ht="30">
      <c r="A1" s="84"/>
      <c r="B1" s="79" t="str">
        <f>Summary!A1</f>
        <v>Public Health Wales Trust</v>
      </c>
      <c r="C1" s="80"/>
      <c r="D1" s="80"/>
      <c r="E1" s="80"/>
      <c r="F1" s="80"/>
      <c r="G1" s="80"/>
      <c r="H1" s="80"/>
      <c r="I1" s="80"/>
      <c r="J1" s="80"/>
      <c r="K1" s="80"/>
      <c r="L1" s="80"/>
      <c r="M1" s="150" t="s">
        <v>51</v>
      </c>
      <c r="N1" s="954" t="str">
        <f>+Summary!H1</f>
        <v>Feb 24</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11</v>
      </c>
      <c r="D5" s="324">
        <f>VLOOKUP(Summary!H1,Summary!V1:W12,2,FALSE)</f>
        <v>11</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1</v>
      </c>
      <c r="E6" s="107">
        <f t="shared" si="1"/>
        <v>1</v>
      </c>
      <c r="F6" s="107">
        <f t="shared" si="1"/>
        <v>1</v>
      </c>
      <c r="G6" s="107">
        <f t="shared" si="1"/>
        <v>1</v>
      </c>
      <c r="H6" s="107">
        <f t="shared" si="1"/>
        <v>1</v>
      </c>
      <c r="I6" s="107">
        <f t="shared" si="1"/>
        <v>1</v>
      </c>
      <c r="J6" s="107">
        <f t="shared" si="1"/>
        <v>1</v>
      </c>
      <c r="K6" s="107">
        <f t="shared" si="1"/>
        <v>1</v>
      </c>
      <c r="L6" s="107">
        <f t="shared" si="1"/>
        <v>1</v>
      </c>
      <c r="M6" s="107">
        <f t="shared" si="1"/>
        <v>1</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1359.0833333333335</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1359.0833333333335</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6" thickBot="1">
      <c r="A27" s="3068"/>
      <c r="B27" s="3068"/>
      <c r="C27" s="3068"/>
      <c r="D27" s="3068"/>
      <c r="E27" s="3068"/>
      <c r="F27" s="3068"/>
      <c r="G27" s="3068"/>
      <c r="H27" s="3068"/>
      <c r="I27" s="3068"/>
      <c r="J27" s="3068"/>
      <c r="K27" s="3068"/>
      <c r="L27" s="3068"/>
      <c r="M27" s="3068"/>
      <c r="N27" s="3068"/>
      <c r="O27" s="3068"/>
      <c r="P27" s="3068"/>
      <c r="Q27" s="1247"/>
      <c r="R27" s="80"/>
      <c r="S27" s="80"/>
      <c r="T27" s="80"/>
      <c r="U27" s="80"/>
      <c r="V27" s="80"/>
      <c r="W27" s="80"/>
      <c r="X27" s="80"/>
      <c r="Y27" s="80"/>
      <c r="Z27" s="80"/>
      <c r="AA27" s="80"/>
      <c r="AB27" s="80"/>
      <c r="AC27" s="80"/>
      <c r="AD27" s="80"/>
      <c r="AE27" s="80"/>
      <c r="AF27" s="80"/>
      <c r="AG27" s="80"/>
      <c r="AH27" s="80"/>
      <c r="AI27" s="80"/>
      <c r="AJ27" s="80"/>
      <c r="AK27" s="80"/>
    </row>
    <row r="28" spans="1:37" ht="1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-1359.0833333333335</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1639.5</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1639.5</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049"/>
      <c r="C56" s="3050"/>
      <c r="D56" s="3050"/>
      <c r="E56" s="3050"/>
      <c r="F56" s="3050"/>
      <c r="G56" s="3050"/>
      <c r="H56" s="3050"/>
      <c r="I56" s="3050"/>
      <c r="J56" s="3050"/>
      <c r="K56" s="3050"/>
      <c r="L56" s="3050"/>
      <c r="M56" s="3050"/>
      <c r="N56" s="3050"/>
      <c r="O56" s="3050"/>
      <c r="P56" s="3050"/>
      <c r="Q56" s="1247"/>
      <c r="R56" s="80"/>
      <c r="S56" s="80"/>
      <c r="T56" s="80"/>
      <c r="U56" s="80"/>
      <c r="V56" s="80"/>
      <c r="W56" s="80"/>
      <c r="X56" s="80"/>
      <c r="Y56" s="80"/>
      <c r="Z56" s="80"/>
      <c r="AA56" s="80"/>
      <c r="AB56" s="80"/>
      <c r="AC56" s="80"/>
      <c r="AD56" s="80"/>
      <c r="AE56" s="80"/>
      <c r="AF56" s="80"/>
      <c r="AG56" s="80"/>
      <c r="AH56" s="80"/>
      <c r="AI56" s="80"/>
      <c r="AJ56" s="80"/>
      <c r="AK56" s="80"/>
    </row>
    <row r="57" spans="1:37" ht="1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-1639.5</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-1639.5</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2998.5833333333326</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2998.5833333333326</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049"/>
      <c r="C201" s="3051"/>
      <c r="D201" s="3051"/>
      <c r="E201" s="3051"/>
      <c r="F201" s="3051"/>
      <c r="G201" s="3051"/>
      <c r="H201" s="3051"/>
      <c r="I201" s="3051"/>
      <c r="J201" s="3051"/>
      <c r="K201" s="3051"/>
      <c r="L201" s="3051"/>
      <c r="M201" s="3051"/>
      <c r="N201" s="3051"/>
      <c r="O201" s="3051"/>
      <c r="P201" s="3051"/>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-2998.5833333333326</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-2998.5833333333326</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9.01</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9.01</v>
      </c>
      <c r="P206" s="1100">
        <f t="shared" si="91"/>
        <v>9.01</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679.58999999999992</v>
      </c>
      <c r="H212" s="1109">
        <f>'B - Monthly Positions'!I77+'B - Monthly Positions'!I82</f>
        <v>571.89</v>
      </c>
      <c r="I212" s="1109">
        <f>'B - Monthly Positions'!J77+'B - Monthly Positions'!J82</f>
        <v>571.89</v>
      </c>
      <c r="J212" s="1109">
        <f>'B - Monthly Positions'!K77+'B - Monthly Positions'!K82</f>
        <v>530.29</v>
      </c>
      <c r="K212" s="1109">
        <f>'B - Monthly Positions'!L77+'B - Monthly Positions'!L82</f>
        <v>557.04</v>
      </c>
      <c r="L212" s="1109">
        <f>'B - Monthly Positions'!M77+'B - Monthly Positions'!M82</f>
        <v>556.29</v>
      </c>
      <c r="M212" s="1109">
        <f>'B - Monthly Positions'!N77+'B - Monthly Positions'!N82</f>
        <v>622.62</v>
      </c>
      <c r="N212" s="1109">
        <f>'B - Monthly Positions'!O77+'B - Monthly Positions'!O82</f>
        <v>912.42</v>
      </c>
      <c r="O212" s="1109">
        <f>SUMPRODUCT($C$6:$N$6,C212:N212)</f>
        <v>6270.0809999999992</v>
      </c>
      <c r="P212" s="1100">
        <f>SUM(C212:N212)</f>
        <v>7182.5009999999993</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19905</v>
      </c>
      <c r="H226" s="1282">
        <f>SUM('B - Monthly Positions'!I12:I16)-H227</f>
        <v>19813</v>
      </c>
      <c r="I226" s="1282">
        <f>SUM('B - Monthly Positions'!J12:J16)-I227</f>
        <v>20654</v>
      </c>
      <c r="J226" s="1282">
        <f>SUM('B - Monthly Positions'!K12:K16)-J227</f>
        <v>20208</v>
      </c>
      <c r="K226" s="1282">
        <f>SUM('B - Monthly Positions'!L12:L16)-K227</f>
        <v>15491</v>
      </c>
      <c r="L226" s="1282">
        <f>SUM('B - Monthly Positions'!M12:M16)-L227</f>
        <v>20919</v>
      </c>
      <c r="M226" s="1282">
        <f>SUM('B - Monthly Positions'!N12:N16)-M227</f>
        <v>13201</v>
      </c>
      <c r="N226" s="1282">
        <f>SUM('B - Monthly Positions'!O12:O16)-N227</f>
        <v>25808.661746666665</v>
      </c>
      <c r="O226" s="1231">
        <f t="shared" si="99"/>
        <v>206726</v>
      </c>
      <c r="P226" s="1100">
        <f t="shared" si="100"/>
        <v>232534.66174666665</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B16" sqref="B16"/>
    </sheetView>
  </sheetViews>
  <sheetFormatPr defaultRowHeight="15.5"/>
  <cols>
    <col min="1" max="1" width="89.23046875" bestFit="1" customWidth="1"/>
    <col min="2" max="2" width="102.07421875" customWidth="1"/>
  </cols>
  <sheetData>
    <row r="1" spans="1:24" ht="21.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FEB 24</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
      <c r="A25" s="1867" t="str">
        <f>"TOTAL ERRORS FOR YOUR "&amp;B4&amp;" RETURN IS "</f>
        <v xml:space="preserve">TOTAL ERRORS FOR YOUR FEB 24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69140625" defaultRowHeight="15.5"/>
  <cols>
    <col min="1" max="1" width="6.69140625" style="1467" customWidth="1"/>
    <col min="2" max="2" width="59.23046875" style="1467" customWidth="1"/>
    <col min="3" max="8" width="10.69140625" style="1467" customWidth="1"/>
    <col min="9" max="21" width="8.69140625" style="1467"/>
    <col min="22" max="22" width="10.23046875" style="1467" customWidth="1"/>
    <col min="23" max="25" width="8.69140625" style="1467"/>
    <col min="26" max="26" width="8.69140625" style="2589"/>
    <col min="27" max="27" width="9.53515625" style="1467" customWidth="1"/>
    <col min="28" max="16384" width="8.69140625" style="1467"/>
  </cols>
  <sheetData>
    <row r="1" spans="1:29" ht="30">
      <c r="A1" s="2567" t="s">
        <v>373</v>
      </c>
      <c r="B1" s="2568"/>
      <c r="C1" s="2569"/>
      <c r="D1" s="2570"/>
      <c r="E1" s="2570"/>
      <c r="F1" s="2570"/>
      <c r="G1" s="2571" t="s">
        <v>51</v>
      </c>
      <c r="H1" s="2572" t="s">
        <v>1221</v>
      </c>
      <c r="I1" s="2570"/>
      <c r="J1" s="2570"/>
      <c r="K1" s="2573">
        <f>VLOOKUP(Summary!$H$1,Summary!$V$1:$W$12,2,0)</f>
        <v>11</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5"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105</v>
      </c>
      <c r="D11" s="1154">
        <f>'A - Movement'!C50</f>
        <v>1.6370904631912708E-11</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c r="B199" s="2591" t="s">
        <v>52</v>
      </c>
    </row>
    <row r="200" spans="2:2">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T36" sqref="T36"/>
    </sheetView>
  </sheetViews>
  <sheetFormatPr defaultRowHeight="15.5"/>
  <cols>
    <col min="1" max="1" width="4.23046875" customWidth="1"/>
    <col min="2" max="2" width="97.53515625" customWidth="1"/>
    <col min="3" max="3" width="11.69140625" customWidth="1"/>
    <col min="4" max="4" width="10.23046875" customWidth="1"/>
    <col min="5" max="5" width="11.07421875" customWidth="1"/>
    <col min="6" max="6" width="10.69140625" customWidth="1"/>
    <col min="7" max="8" width="3.07421875" customWidth="1"/>
    <col min="9" max="9" width="3.69140625" customWidth="1"/>
    <col min="21" max="21" width="9.07421875" customWidth="1"/>
    <col min="25" max="27" width="8.69140625" customWidth="1"/>
  </cols>
  <sheetData>
    <row r="1" spans="1:66" ht="18">
      <c r="A1" s="127" t="str">
        <f>+Summary!A1</f>
        <v>Public Health Wales Trust</v>
      </c>
      <c r="B1" s="150"/>
      <c r="C1" s="150"/>
      <c r="D1" s="150"/>
      <c r="E1" s="150" t="s">
        <v>51</v>
      </c>
      <c r="F1" s="954" t="str">
        <f>+Summary!H1</f>
        <v>Feb 24</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-30814.666666666661</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-15046.435825101298</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27816.083333333343</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15046.435635101296</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2998.5833333333326</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-1.8999998928848072E-4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49">
        <f t="shared" si="9"/>
        <v>22</v>
      </c>
      <c r="B32" s="1861" t="s">
        <v>1351</v>
      </c>
      <c r="C32" s="1130">
        <f t="shared" si="15"/>
        <v>-5049.0336643093351</v>
      </c>
      <c r="D32" s="1130">
        <f t="shared" si="16"/>
        <v>-5049.0336643093351</v>
      </c>
      <c r="E32" s="953"/>
      <c r="F32" s="953"/>
      <c r="G32" s="111">
        <f t="shared" si="17"/>
        <v>0</v>
      </c>
      <c r="H32" s="111">
        <f t="shared" si="18"/>
        <v>0</v>
      </c>
      <c r="I32" s="949">
        <f t="shared" si="14"/>
        <v>22</v>
      </c>
      <c r="J32" s="1130">
        <f>'B3 - COVID-19'!C155</f>
        <v>1.900000000887303E-4</v>
      </c>
      <c r="K32" s="1130">
        <f>'B3 - COVID-19'!D155</f>
        <v>-128.49630925089446</v>
      </c>
      <c r="L32" s="1130">
        <f>'B3 - COVID-19'!E155</f>
        <v>-608.51301292608559</v>
      </c>
      <c r="M32" s="1130">
        <f>'B3 - COVID-19'!F155</f>
        <v>-239.42790425089447</v>
      </c>
      <c r="N32" s="1130">
        <f>'B3 - COVID-19'!G155</f>
        <v>-134.90549425089444</v>
      </c>
      <c r="O32" s="1130">
        <f>'B3 - COVID-19'!H155</f>
        <v>-809.18420125941884</v>
      </c>
      <c r="P32" s="1130">
        <f>'B3 - COVID-19'!I155</f>
        <v>-213.39209698581726</v>
      </c>
      <c r="Q32" s="1130">
        <f>'B3 - COVID-19'!J155</f>
        <v>-605.06149584160221</v>
      </c>
      <c r="R32" s="1130">
        <f>'B3 - COVID-19'!K155</f>
        <v>-984.24359865248391</v>
      </c>
      <c r="S32" s="1130">
        <f>'B3 - COVID-19'!L155</f>
        <v>-323.13252698581755</v>
      </c>
      <c r="T32" s="1130">
        <f>'B3 - COVID-19'!M155</f>
        <v>-445.7747846973873</v>
      </c>
      <c r="U32" s="1130">
        <f>'B3 - COVID-19'!N155</f>
        <v>-556.90242920803939</v>
      </c>
      <c r="V32" s="1130">
        <f>SUMPRODUCT('B - Monthly Positions'!$D$7:$O$7,J32:U32)</f>
        <v>-4492.1312351012957</v>
      </c>
      <c r="W32" s="1130">
        <f t="shared" si="13"/>
        <v>-5049.0336643093351</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5049.0338543093358</v>
      </c>
      <c r="D34" s="1130">
        <f t="shared" si="16"/>
        <v>5049.0338543093358</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134.90549425089444</v>
      </c>
      <c r="O34" s="1130">
        <f>'B3 - COVID-19'!H149</f>
        <v>809.18420125941884</v>
      </c>
      <c r="P34" s="1130">
        <f>'B3 - COVID-19'!I149</f>
        <v>213.39209698581726</v>
      </c>
      <c r="Q34" s="1130">
        <f>'B3 - COVID-19'!J149</f>
        <v>605.06149584160221</v>
      </c>
      <c r="R34" s="1130">
        <f>'B3 - COVID-19'!K149</f>
        <v>984.24359865248391</v>
      </c>
      <c r="S34" s="1130">
        <f>'B3 - COVID-19'!L149</f>
        <v>323.13252698581755</v>
      </c>
      <c r="T34" s="1130">
        <f>'B3 - COVID-19'!M149</f>
        <v>445.7747846973873</v>
      </c>
      <c r="U34" s="1130">
        <f>'B3 - COVID-19'!N149</f>
        <v>556.90242920803939</v>
      </c>
      <c r="V34" s="1130">
        <f>SUMPRODUCT('B - Monthly Positions'!$D$7:$O$7,J34:U34)</f>
        <v>4492.1314251012964</v>
      </c>
      <c r="W34" s="1130">
        <f t="shared" si="13"/>
        <v>5049.0338543093358</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v>-147</v>
      </c>
      <c r="O36" s="953">
        <v>114</v>
      </c>
      <c r="P36" s="953">
        <v>-4</v>
      </c>
      <c r="Q36" s="953">
        <v>-108</v>
      </c>
      <c r="R36" s="953">
        <v>8</v>
      </c>
      <c r="S36" s="953">
        <v>46</v>
      </c>
      <c r="T36" s="953">
        <v>39</v>
      </c>
      <c r="U36" s="953">
        <v>-105</v>
      </c>
      <c r="V36" s="1130">
        <f>SUMPRODUCT('B - Monthly Positions'!$D$7:$O$7,J36:U36)</f>
        <v>105</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49">
        <f t="shared" si="26"/>
        <v>40</v>
      </c>
      <c r="B50" s="952" t="s">
        <v>33</v>
      </c>
      <c r="C50" s="950">
        <f>SUM(C24:C49)</f>
        <v>1.6370904631912708E-11</v>
      </c>
      <c r="D50" s="950">
        <f>SUM(D24:D49)</f>
        <v>1.6370904631912708E-11</v>
      </c>
      <c r="E50" s="950">
        <f>SUM(E24:E49)</f>
        <v>0</v>
      </c>
      <c r="F50" s="950">
        <f>SUM(F24:F49)</f>
        <v>0</v>
      </c>
      <c r="G50" s="111">
        <f>SUM(G11:G49)</f>
        <v>0</v>
      </c>
      <c r="H50" s="111">
        <f>SUM(H11:H49)</f>
        <v>0</v>
      </c>
      <c r="I50" s="949">
        <f>A50</f>
        <v>40</v>
      </c>
      <c r="J50" s="950">
        <f t="shared" ref="J50:U50" si="29">SUM(J24:J49)</f>
        <v>49.999999999999886</v>
      </c>
      <c r="K50" s="950">
        <f t="shared" si="29"/>
        <v>2.0000000000001421</v>
      </c>
      <c r="L50" s="950">
        <f t="shared" si="29"/>
        <v>11.000000000000114</v>
      </c>
      <c r="M50" s="950">
        <f t="shared" si="29"/>
        <v>94.000000000000369</v>
      </c>
      <c r="N50" s="950">
        <f t="shared" si="29"/>
        <v>-146.99999999999963</v>
      </c>
      <c r="O50" s="950">
        <f t="shared" si="29"/>
        <v>113.99999999999989</v>
      </c>
      <c r="P50" s="950">
        <f t="shared" si="29"/>
        <v>-4.0000000000000853</v>
      </c>
      <c r="Q50" s="950">
        <f t="shared" si="29"/>
        <v>-107.99999999999943</v>
      </c>
      <c r="R50" s="950">
        <f t="shared" si="29"/>
        <v>8.0000000000001137</v>
      </c>
      <c r="S50" s="950">
        <f t="shared" si="29"/>
        <v>45.999999999999886</v>
      </c>
      <c r="T50" s="950">
        <f t="shared" si="29"/>
        <v>39.000000000000114</v>
      </c>
      <c r="U50" s="950">
        <f t="shared" si="29"/>
        <v>-105.00000000000034</v>
      </c>
      <c r="V50" s="950">
        <f>SUMPRODUCT('B - Monthly Positions'!$D$7:$O$7,J50:U50)</f>
        <v>105.00000000000136</v>
      </c>
      <c r="W50" s="950">
        <f>SUM(J50:U50)</f>
        <v>1.0231815394945443E-12</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49">
        <f>A50+1</f>
        <v>41</v>
      </c>
      <c r="B52" s="2481" t="s">
        <v>1027</v>
      </c>
      <c r="C52" s="950">
        <f>W52</f>
        <v>0</v>
      </c>
      <c r="D52" s="71"/>
      <c r="E52" s="71"/>
      <c r="F52" s="71"/>
      <c r="G52" s="111">
        <f>SUM(G14:G51)</f>
        <v>0</v>
      </c>
      <c r="H52" s="111">
        <f>SUM(H14:H51)</f>
        <v>0</v>
      </c>
      <c r="I52" s="949">
        <f>A52</f>
        <v>41</v>
      </c>
      <c r="J52" s="950">
        <f>'B3 - COVID-19'!C158</f>
        <v>0</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0</v>
      </c>
      <c r="W52" s="950">
        <f>SUM(J52:U52)</f>
        <v>0</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49">
        <f>A52+1</f>
        <v>42</v>
      </c>
      <c r="B54" s="2481" t="s">
        <v>1028</v>
      </c>
      <c r="C54" s="950">
        <f>C50-C52</f>
        <v>1.6370904631912708E-11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-146.99999999999963</v>
      </c>
      <c r="O54" s="950">
        <f t="shared" si="30"/>
        <v>113.99999999999989</v>
      </c>
      <c r="P54" s="950">
        <f t="shared" si="30"/>
        <v>-4.0000000000000853</v>
      </c>
      <c r="Q54" s="950">
        <f t="shared" si="30"/>
        <v>-107.99999999999943</v>
      </c>
      <c r="R54" s="950">
        <f t="shared" si="30"/>
        <v>8.0000000000001137</v>
      </c>
      <c r="S54" s="950">
        <f t="shared" si="30"/>
        <v>45.999999999999886</v>
      </c>
      <c r="T54" s="950">
        <f t="shared" si="30"/>
        <v>39.000000000000114</v>
      </c>
      <c r="U54" s="950">
        <f t="shared" si="30"/>
        <v>-105.00000000000034</v>
      </c>
      <c r="V54" s="950">
        <f t="shared" si="30"/>
        <v>105.00000000000136</v>
      </c>
      <c r="W54" s="950">
        <f>SUM(J54:U54)</f>
        <v>1.0231815394945443E-12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69140625" defaultRowHeight="14.5"/>
  <cols>
    <col min="1" max="1" width="3.69140625" style="1417" customWidth="1"/>
    <col min="2" max="2" width="72.23046875" style="1417" customWidth="1"/>
    <col min="3" max="3" width="9.07421875" style="1417" customWidth="1"/>
    <col min="4" max="5" width="9.4609375" style="1417" customWidth="1"/>
    <col min="6" max="6" width="8.69140625" style="1417"/>
    <col min="7" max="7" width="11.23046875" style="1417" customWidth="1"/>
    <col min="8" max="8" width="8.69140625" style="1417" customWidth="1"/>
    <col min="9" max="15" width="8.69140625" style="1417"/>
    <col min="16" max="16" width="93.23046875" style="1417" bestFit="1" customWidth="1"/>
    <col min="17" max="17" width="67.69140625" style="1417" customWidth="1"/>
    <col min="18" max="16384" width="8.69140625" style="1417"/>
  </cols>
  <sheetData>
    <row r="1" spans="1:18" ht="18">
      <c r="A1" s="127" t="str">
        <f>+Summary!A1</f>
        <v>Public Health Wales Trust</v>
      </c>
      <c r="B1" s="150"/>
      <c r="C1" s="1377"/>
      <c r="D1" s="1377"/>
      <c r="E1" s="1378"/>
      <c r="F1" s="1378"/>
      <c r="G1" s="1377" t="s">
        <v>51</v>
      </c>
      <c r="H1" s="1416" t="str">
        <f>+Summary!H1</f>
        <v>Feb 24</v>
      </c>
      <c r="P1" s="768" t="s">
        <v>557</v>
      </c>
      <c r="Q1" s="955" t="s">
        <v>205</v>
      </c>
      <c r="R1" s="71"/>
    </row>
    <row r="2" spans="1:18" ht="15.5">
      <c r="A2" s="70"/>
      <c r="B2" s="163"/>
      <c r="C2" s="1124"/>
      <c r="D2" s="1378"/>
      <c r="E2" s="1378"/>
      <c r="F2" s="1378"/>
      <c r="G2" s="1378"/>
      <c r="H2" s="1378"/>
      <c r="P2" s="71"/>
      <c r="Q2" s="71"/>
      <c r="R2" s="765"/>
    </row>
    <row r="3" spans="1:18" ht="15.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0">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0">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B36" sqref="B36"/>
    </sheetView>
  </sheetViews>
  <sheetFormatPr defaultColWidth="8.69140625" defaultRowHeight="15.5"/>
  <cols>
    <col min="1" max="1" width="3.07421875" customWidth="1"/>
    <col min="2" max="2" width="70.07421875" customWidth="1"/>
    <col min="3" max="3" width="13.69140625" customWidth="1"/>
    <col min="4" max="4" width="10.23046875" bestFit="1" customWidth="1"/>
    <col min="5" max="6" width="8.69140625" style="759"/>
    <col min="7" max="7" width="51.4609375" style="759" customWidth="1"/>
    <col min="8" max="8" width="65.69140625" style="759" bestFit="1" customWidth="1"/>
    <col min="9" max="9" width="25.69140625" customWidth="1"/>
  </cols>
  <sheetData>
    <row r="1" spans="1:26" ht="30">
      <c r="A1" s="79" t="str">
        <f>+Summary!A1</f>
        <v>Public Health Wales Trust</v>
      </c>
      <c r="B1" s="71"/>
      <c r="C1" s="70" t="s">
        <v>80</v>
      </c>
      <c r="D1" s="151" t="str">
        <f>+Summary!H1</f>
        <v>Feb 24</v>
      </c>
      <c r="E1" s="758"/>
      <c r="F1" s="758"/>
      <c r="G1" s="758"/>
      <c r="H1" s="254"/>
      <c r="I1" s="849"/>
      <c r="J1" s="745"/>
      <c r="K1" s="272"/>
      <c r="L1" s="272"/>
      <c r="M1" s="272"/>
      <c r="N1" s="71"/>
      <c r="O1" s="71"/>
      <c r="P1" s="71"/>
      <c r="Q1" s="71"/>
      <c r="R1" s="71"/>
      <c r="S1" s="71"/>
      <c r="T1" s="71"/>
      <c r="U1" s="71"/>
      <c r="V1" s="71"/>
      <c r="W1" s="71"/>
      <c r="X1" s="71"/>
      <c r="Y1" s="71"/>
      <c r="Z1" s="71"/>
    </row>
    <row r="2" spans="1:26" ht="29.5">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29.5">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75"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c r="C21" s="1199"/>
      <c r="D21" s="1724"/>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0</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t="s">
        <v>1477</v>
      </c>
      <c r="C36" s="1562">
        <v>521</v>
      </c>
      <c r="D36" s="1727" t="s">
        <v>102</v>
      </c>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521</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1.6370904631912708E-11</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1.6370904631912708E-11</v>
      </c>
      <c r="D47" s="2602"/>
      <c r="E47" s="2606"/>
      <c r="F47" s="2606"/>
      <c r="G47" s="2606"/>
    </row>
    <row r="48" spans="1:26" ht="1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25" customHeight="1" thickBot="1">
      <c r="A49" s="119">
        <f>A47+1</f>
        <v>37</v>
      </c>
      <c r="B49" s="1737" t="s">
        <v>875</v>
      </c>
      <c r="C49" s="117">
        <f>IF(C10+C34+C43&gt;0,C45,C45+C10+C34+C43)</f>
        <v>1.6370904631912708E-11</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75" customHeight="1" thickBot="1">
      <c r="A51" s="119">
        <f>A49+1</f>
        <v>38</v>
      </c>
      <c r="B51" s="1737" t="s">
        <v>876</v>
      </c>
      <c r="C51" s="117">
        <f>C45+C10+C43</f>
        <v>521.00000000001637</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90" zoomScaleNormal="90" workbookViewId="0">
      <pane xSplit="3" ySplit="10" topLeftCell="F19" activePane="bottomRight" state="frozen"/>
      <selection pane="topRight" activeCell="D1" sqref="D1"/>
      <selection pane="bottomLeft" activeCell="A11" sqref="A11"/>
      <selection pane="bottomRight" activeCell="P37" sqref="P37"/>
    </sheetView>
  </sheetViews>
  <sheetFormatPr defaultColWidth="8.69140625" defaultRowHeight="12.5"/>
  <cols>
    <col min="1" max="1" width="5" style="9" customWidth="1"/>
    <col min="2" max="2" width="62.4609375" style="9" customWidth="1"/>
    <col min="3" max="3" width="20.69140625" style="9" customWidth="1"/>
    <col min="4" max="15" width="11.69140625" style="9" customWidth="1"/>
    <col min="16" max="16" width="8.69140625" style="9"/>
    <col min="17" max="17" width="12.23046875" style="9" customWidth="1"/>
    <col min="18" max="18" width="9.69140625" style="9" customWidth="1"/>
    <col min="19" max="22" width="8.69140625" style="9"/>
    <col min="23" max="23" width="150.07421875" style="9" customWidth="1"/>
    <col min="24" max="24" width="40.69140625" style="9" customWidth="1"/>
    <col min="25" max="25" width="8.69140625" style="750"/>
    <col min="26" max="29" width="8.69140625" style="9"/>
    <col min="30" max="30" width="9.23046875" style="9" customWidth="1"/>
    <col min="31" max="31" width="17.69140625" style="9" customWidth="1"/>
    <col min="32" max="16384" width="8.6914062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Feb 24</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Feb 24</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Feb 24</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Feb 24</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Feb 24</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11</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Feb 24</v>
      </c>
      <c r="AC5" s="1123">
        <f t="shared" si="0"/>
        <v>0</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Feb 24</v>
      </c>
      <c r="AC6" s="1123">
        <f t="shared" si="0"/>
        <v>0</v>
      </c>
      <c r="AD6" s="82"/>
      <c r="AE6" s="82"/>
      <c r="AF6" s="82"/>
      <c r="AG6" s="271" t="str">
        <f>Summary!V6</f>
        <v>Sep 23</v>
      </c>
      <c r="AH6" s="111">
        <f>SUM($D$37:$H$37)</f>
        <v>10.000000000003638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1</v>
      </c>
      <c r="F7" s="107">
        <f t="shared" si="2"/>
        <v>1</v>
      </c>
      <c r="G7" s="107">
        <f t="shared" si="2"/>
        <v>1</v>
      </c>
      <c r="H7" s="107">
        <f t="shared" si="2"/>
        <v>1</v>
      </c>
      <c r="I7" s="107">
        <f t="shared" si="2"/>
        <v>1</v>
      </c>
      <c r="J7" s="107">
        <f t="shared" si="2"/>
        <v>1</v>
      </c>
      <c r="K7" s="107">
        <f t="shared" si="2"/>
        <v>1</v>
      </c>
      <c r="L7" s="107">
        <f t="shared" si="2"/>
        <v>1</v>
      </c>
      <c r="M7" s="107">
        <f t="shared" si="2"/>
        <v>1</v>
      </c>
      <c r="N7" s="107">
        <f t="shared" si="2"/>
        <v>1</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Feb 24</v>
      </c>
      <c r="AC7" s="1123">
        <f t="shared" si="0"/>
        <v>0</v>
      </c>
      <c r="AD7" s="82"/>
      <c r="AE7" s="82"/>
      <c r="AF7" s="82"/>
      <c r="AG7" s="271" t="str">
        <f>Summary!V7</f>
        <v>Oct 23</v>
      </c>
      <c r="AH7" s="111">
        <f>SUM($D$37:$I$37)</f>
        <v>124.00000000000364</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Feb 24</v>
      </c>
      <c r="AC8" s="1123">
        <f t="shared" si="0"/>
        <v>0</v>
      </c>
      <c r="AD8" s="84"/>
      <c r="AE8" s="84"/>
      <c r="AF8" s="84"/>
      <c r="AG8" s="271" t="str">
        <f>Summary!V8</f>
        <v>Nov 23</v>
      </c>
      <c r="AH8" s="111">
        <f>SUM($D$37:$J$37)</f>
        <v>120.00000000000364</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Feb 24</v>
      </c>
      <c r="AC9" s="1123">
        <f t="shared" si="0"/>
        <v>1</v>
      </c>
      <c r="AD9" s="298"/>
      <c r="AE9" s="298"/>
      <c r="AF9" s="298"/>
      <c r="AG9" s="271" t="str">
        <f>Summary!V9</f>
        <v>Dec 23</v>
      </c>
      <c r="AH9" s="111">
        <f>SUM($D$37:$K$37)</f>
        <v>12.000000000007276</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Feb 24</v>
      </c>
      <c r="AC10" s="1123">
        <f>SUM(AC1:AC9)</f>
        <v>1</v>
      </c>
      <c r="AD10" s="298"/>
      <c r="AE10" s="298"/>
      <c r="AF10" s="298"/>
      <c r="AG10" s="271" t="str">
        <f>Summary!V10</f>
        <v>Jan 24</v>
      </c>
      <c r="AH10" s="111">
        <f>SUM($D$37:$L$37)</f>
        <v>20.000000000003638</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66.000000000010914</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v>250</v>
      </c>
      <c r="O12" s="1065"/>
      <c r="P12" s="74">
        <f t="shared" ref="P12:P36" si="3">SUMPRODUCT($D$7:$O$7,D12:O12)</f>
        <v>250</v>
      </c>
      <c r="Q12" s="1066">
        <f t="shared" ref="Q12:Q36" si="4">P12+SUMPRODUCT(1-$D$7:$O$7,D12:O12)</f>
        <v>250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105.00000000000546</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f>10534-SUM(D13:G13)</f>
        <v>2227</v>
      </c>
      <c r="I13" s="891">
        <f>12569-SUM(D13:H13)</f>
        <v>2035</v>
      </c>
      <c r="J13" s="891">
        <f>14487-SUM(D13:I13)</f>
        <v>1918</v>
      </c>
      <c r="K13" s="891">
        <f>17110-SUM(D13:J13)</f>
        <v>2623</v>
      </c>
      <c r="L13" s="891">
        <f>19228-SUM(D13:K13)</f>
        <v>2118</v>
      </c>
      <c r="M13" s="891">
        <f>21299-SUM(D13:L13)</f>
        <v>2071</v>
      </c>
      <c r="N13" s="891">
        <f>23591-SUM(D13:M13)</f>
        <v>2292</v>
      </c>
      <c r="O13" s="1065">
        <v>2041</v>
      </c>
      <c r="P13" s="74">
        <f>SUMPRODUCT($D$7:$O$7,D13:O13)</f>
        <v>23591</v>
      </c>
      <c r="Q13" s="1066">
        <f>P13+SUMPRODUCT(1-$D$7:$O$7,D13:O13)</f>
        <v>25632</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f>96-SUM(D14:G14)</f>
        <v>19</v>
      </c>
      <c r="I14" s="891">
        <f>115-SUM(D14:H14)</f>
        <v>19</v>
      </c>
      <c r="J14" s="891">
        <f>134-SUM(D14:I14)</f>
        <v>19</v>
      </c>
      <c r="K14" s="891">
        <f>145-SUM(D14:J14)</f>
        <v>11</v>
      </c>
      <c r="L14" s="891">
        <f>172-SUM(D14:K14)</f>
        <v>27</v>
      </c>
      <c r="M14" s="891">
        <f>191-SUM(D14:L14)</f>
        <v>19</v>
      </c>
      <c r="N14" s="891">
        <f>211-SUM(D14:M14)</f>
        <v>20</v>
      </c>
      <c r="O14" s="891">
        <v>19</v>
      </c>
      <c r="P14" s="74">
        <f>SUMPRODUCT($D$7:$O$7,D14:O14)</f>
        <v>211</v>
      </c>
      <c r="Q14" s="1066">
        <f>P14+SUMPRODUCT(1-$D$7:$O$7,D14:O14)</f>
        <v>230</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82946-SUM(D15:G15)+1</f>
        <v>17098</v>
      </c>
      <c r="I15" s="891">
        <f>100278-SUM(D15:H15)+1</f>
        <v>17332</v>
      </c>
      <c r="J15" s="891">
        <f>118384-SUM(D15:I15)-1</f>
        <v>18104</v>
      </c>
      <c r="K15" s="891">
        <f>134951-SUM(D15:J15)-1</f>
        <v>16567</v>
      </c>
      <c r="L15" s="891">
        <f>147652-SUM(D15:K15)-1</f>
        <v>12701</v>
      </c>
      <c r="M15" s="891">
        <f>165920-SUM(D15:L15)</f>
        <v>18269</v>
      </c>
      <c r="N15" s="891">
        <f>176281-SUM(D15:M15)-250</f>
        <v>10111</v>
      </c>
      <c r="O15" s="1065">
        <f>22013+'B3 - COVID-19'!N154-104</f>
        <v>23235.661746666665</v>
      </c>
      <c r="P15" s="74">
        <f>SUMPRODUCT($D$7:$O$7,D15:O15)</f>
        <v>176031</v>
      </c>
      <c r="Q15" s="1066">
        <f>P15+SUMPRODUCT(1-$D$7:$O$7,D15:O15)</f>
        <v>199266.66174666665</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f>2863-SUM(D16:G16)</f>
        <v>561</v>
      </c>
      <c r="I16" s="891">
        <f>3290-SUM(D16:H16)</f>
        <v>427</v>
      </c>
      <c r="J16" s="891">
        <f>3903-SUM(D16:I16)</f>
        <v>613</v>
      </c>
      <c r="K16" s="891">
        <f>4910-SUM(D16:J16)</f>
        <v>1007</v>
      </c>
      <c r="L16" s="891">
        <f>5555-SUM(D16:K16)</f>
        <v>645</v>
      </c>
      <c r="M16" s="891">
        <f>6115-SUM(D16:L16)</f>
        <v>560</v>
      </c>
      <c r="N16" s="891">
        <f>6643-SUM(D16:M16)</f>
        <v>528</v>
      </c>
      <c r="O16" s="1065">
        <v>513</v>
      </c>
      <c r="P16" s="1072">
        <f t="shared" si="3"/>
        <v>6643</v>
      </c>
      <c r="Q16" s="1066">
        <f t="shared" si="4"/>
        <v>7156</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19905</v>
      </c>
      <c r="I17" s="1109">
        <f t="shared" si="6"/>
        <v>19813</v>
      </c>
      <c r="J17" s="1109">
        <f t="shared" si="6"/>
        <v>20654</v>
      </c>
      <c r="K17" s="1109">
        <f t="shared" si="6"/>
        <v>20208</v>
      </c>
      <c r="L17" s="1109">
        <f t="shared" si="6"/>
        <v>15491</v>
      </c>
      <c r="M17" s="1109">
        <f t="shared" si="6"/>
        <v>20919</v>
      </c>
      <c r="N17" s="1109">
        <f t="shared" si="6"/>
        <v>13201</v>
      </c>
      <c r="O17" s="1109">
        <f t="shared" si="6"/>
        <v>25808.661746666665</v>
      </c>
      <c r="P17" s="1100">
        <f t="shared" si="3"/>
        <v>206726</v>
      </c>
      <c r="Q17" s="1132">
        <f t="shared" si="4"/>
        <v>232534.66174666665</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232534.66174666665</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58317-SUM(D20:G20)</f>
        <v>11570</v>
      </c>
      <c r="I20" s="891">
        <f>69578-SUM(D20:H20)</f>
        <v>11261</v>
      </c>
      <c r="J20" s="891">
        <f>81221-SUM(D20:I20)</f>
        <v>11643</v>
      </c>
      <c r="K20" s="891">
        <f>92570-SUM(D20:J20)</f>
        <v>11349</v>
      </c>
      <c r="L20" s="891">
        <f>104141-SUM(D20:K20)</f>
        <v>11571</v>
      </c>
      <c r="M20" s="891">
        <f>115693-SUM(D20:L20)</f>
        <v>11552</v>
      </c>
      <c r="N20" s="891">
        <f>123809-SUM(D20:M20)</f>
        <v>8116</v>
      </c>
      <c r="O20" s="891">
        <f>12382+'B3 - COVID-19'!N19+'B3 - COVID-19'!N62</f>
        <v>12501.937416666666</v>
      </c>
      <c r="P20" s="75">
        <f t="shared" si="3"/>
        <v>123809</v>
      </c>
      <c r="Q20" s="1066">
        <f t="shared" si="4"/>
        <v>136310.93741666665</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38113-SUM(D21:G21)-SUM(D32:H35)</f>
        <v>7802.4100000000008</v>
      </c>
      <c r="I21" s="891">
        <f>46551-SUM(D21:H21)-SUM(D32:I35)</f>
        <v>7866.1100000000006</v>
      </c>
      <c r="J21" s="891">
        <f>55566-SUM(D21:I21)-SUM(D32:J35)</f>
        <v>8443.11</v>
      </c>
      <c r="K21" s="891">
        <f>64533-SUM(D21:J21)-SUM(D32:K35)</f>
        <v>8427.7000000000007</v>
      </c>
      <c r="L21" s="891">
        <f>68445-SUM(D21:K21)-SUM(D32:L35)</f>
        <v>3354.9600000000028</v>
      </c>
      <c r="M21" s="891">
        <f>77766-SUM(D21:L21)-SUM(D32:M35)</f>
        <v>8764.7099999999955</v>
      </c>
      <c r="N21" s="891">
        <f>82812-SUM(D21:M21)-SUM(D32:N35)</f>
        <v>4423.3800000000047</v>
      </c>
      <c r="O21" s="891">
        <f>12205-SUM(O32:O35)+('B3 - COVID-19'!N33+'B3 - COVID-19'!N76+'B3 - COVID-19'!N129)</f>
        <v>12499.304329999999</v>
      </c>
      <c r="P21" s="75">
        <f t="shared" si="3"/>
        <v>76532.909</v>
      </c>
      <c r="Q21" s="1066">
        <f t="shared" si="4"/>
        <v>89032.213329999999</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136310.93741666665</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89032.213329999999</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645.16999999999996</v>
      </c>
      <c r="I32" s="891">
        <f t="shared" si="7"/>
        <v>543.77</v>
      </c>
      <c r="J32" s="891">
        <f t="shared" si="7"/>
        <v>543.77</v>
      </c>
      <c r="K32" s="891">
        <f t="shared" si="7"/>
        <v>502.17</v>
      </c>
      <c r="L32" s="891">
        <f t="shared" si="7"/>
        <v>528.91999999999996</v>
      </c>
      <c r="M32" s="891">
        <f t="shared" si="7"/>
        <v>528.16999999999996</v>
      </c>
      <c r="N32" s="891">
        <f t="shared" si="7"/>
        <v>594.5</v>
      </c>
      <c r="O32" s="891">
        <f t="shared" si="7"/>
        <v>884</v>
      </c>
      <c r="P32" s="75">
        <f t="shared" si="3"/>
        <v>5960.6310000000003</v>
      </c>
      <c r="Q32" s="1066">
        <f t="shared" si="4"/>
        <v>6844.6310000000003</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34.42</v>
      </c>
      <c r="I33" s="891">
        <f t="shared" si="8"/>
        <v>28.12</v>
      </c>
      <c r="J33" s="891">
        <f t="shared" si="8"/>
        <v>28.12</v>
      </c>
      <c r="K33" s="891">
        <f t="shared" si="8"/>
        <v>28.12</v>
      </c>
      <c r="L33" s="891">
        <f t="shared" si="8"/>
        <v>28.12</v>
      </c>
      <c r="M33" s="891">
        <f t="shared" si="8"/>
        <v>28.12</v>
      </c>
      <c r="N33" s="891">
        <f t="shared" si="8"/>
        <v>28.12</v>
      </c>
      <c r="O33" s="891">
        <f t="shared" si="8"/>
        <v>28.42</v>
      </c>
      <c r="P33" s="75">
        <f t="shared" si="3"/>
        <v>309.45000000000005</v>
      </c>
      <c r="Q33" s="1066">
        <f t="shared" si="4"/>
        <v>337.87000000000006</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v>9.01</v>
      </c>
      <c r="L35" s="1070"/>
      <c r="M35" s="1070"/>
      <c r="N35" s="1070"/>
      <c r="O35" s="1079"/>
      <c r="P35" s="1080">
        <f t="shared" si="3"/>
        <v>9.01</v>
      </c>
      <c r="Q35" s="1066">
        <f t="shared" si="4"/>
        <v>9.01</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20051.999999999996</v>
      </c>
      <c r="I36" s="1109">
        <f t="shared" si="9"/>
        <v>19699</v>
      </c>
      <c r="J36" s="1109">
        <f t="shared" si="9"/>
        <v>20658</v>
      </c>
      <c r="K36" s="1109">
        <f t="shared" si="9"/>
        <v>20315.999999999996</v>
      </c>
      <c r="L36" s="1109">
        <f t="shared" si="9"/>
        <v>15483.000000000004</v>
      </c>
      <c r="M36" s="1109">
        <f t="shared" si="9"/>
        <v>20872.999999999993</v>
      </c>
      <c r="N36" s="1109">
        <f t="shared" si="9"/>
        <v>13162.000000000005</v>
      </c>
      <c r="O36" s="1109">
        <f t="shared" si="9"/>
        <v>25913.661746666665</v>
      </c>
      <c r="P36" s="1100">
        <f t="shared" si="3"/>
        <v>206621</v>
      </c>
      <c r="Q36" s="1132">
        <f t="shared" si="4"/>
        <v>232534.66174666665</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-146.99999999999636</v>
      </c>
      <c r="I37" s="1109">
        <f t="shared" si="10"/>
        <v>114</v>
      </c>
      <c r="J37" s="1109">
        <f t="shared" si="10"/>
        <v>-4</v>
      </c>
      <c r="K37" s="1109">
        <f t="shared" si="10"/>
        <v>-107.99999999999636</v>
      </c>
      <c r="L37" s="1109">
        <f t="shared" si="10"/>
        <v>7.999999999996362</v>
      </c>
      <c r="M37" s="1109">
        <f t="shared" si="10"/>
        <v>46.000000000007276</v>
      </c>
      <c r="N37" s="1100">
        <f t="shared" si="10"/>
        <v>38.999999999994543</v>
      </c>
      <c r="O37" s="1109">
        <f t="shared" si="10"/>
        <v>-105</v>
      </c>
      <c r="P37" s="1109">
        <f t="shared" si="10"/>
        <v>105</v>
      </c>
      <c r="Q37" s="1100">
        <f t="shared" si="10"/>
        <v>0</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207972.16074666666</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2776</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11594+3010</f>
        <v>14604</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225352.16074666666</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20051.999999999996</v>
      </c>
      <c r="I57" s="111">
        <f t="shared" si="12"/>
        <v>19699</v>
      </c>
      <c r="J57" s="111">
        <f t="shared" si="12"/>
        <v>20658</v>
      </c>
      <c r="K57" s="111">
        <f t="shared" si="12"/>
        <v>20315.999999999996</v>
      </c>
      <c r="L57" s="111">
        <f t="shared" si="12"/>
        <v>15483.000000000004</v>
      </c>
      <c r="M57" s="111">
        <f t="shared" si="12"/>
        <v>20872.999999999993</v>
      </c>
      <c r="N57" s="111">
        <f t="shared" si="12"/>
        <v>13162.000000000005</v>
      </c>
      <c r="O57" s="111">
        <f t="shared" si="12"/>
        <v>25913.661746666665</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105</v>
      </c>
      <c r="F60" s="299"/>
      <c r="G60" s="300"/>
      <c r="H60" s="3199" t="str">
        <f>""&amp;(A37+6)&amp;". Extrapolated Scenario"</f>
        <v>33. Extrapolated Scenario</v>
      </c>
      <c r="I60" s="3200"/>
      <c r="J60" s="3200"/>
      <c r="K60" s="303">
        <f>SUM(E60+(E62*(12-C5)))</f>
        <v>143.99999999998909</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66.000000000010914</v>
      </c>
      <c r="F61" s="1086"/>
      <c r="G61" s="293"/>
      <c r="H61" s="3202" t="str">
        <f>""&amp;(A37+7)&amp;". Year to Date Trend Scenario"</f>
        <v>34. Year to Date Trend Scenario</v>
      </c>
      <c r="I61" s="3203"/>
      <c r="J61" s="3203"/>
      <c r="K61" s="1087">
        <f>SUM(P37/C5)*12</f>
        <v>114.54545454545453</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38.999999999989086</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9.545454545454545</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105</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5">
      <c r="A72" s="889">
        <v>41</v>
      </c>
      <c r="B72" s="1094" t="s">
        <v>12</v>
      </c>
      <c r="C72" s="1095" t="s">
        <v>288</v>
      </c>
      <c r="D72" s="963">
        <f>283.821</f>
        <v>283.82100000000003</v>
      </c>
      <c r="E72" s="963">
        <v>52.33</v>
      </c>
      <c r="F72" s="963">
        <v>168.17</v>
      </c>
      <c r="G72" s="963">
        <v>168.17</v>
      </c>
      <c r="H72" s="963">
        <v>1364</v>
      </c>
      <c r="I72" s="963">
        <v>407.3</v>
      </c>
      <c r="J72" s="963">
        <v>407.3</v>
      </c>
      <c r="K72" s="963">
        <v>399</v>
      </c>
      <c r="L72" s="963">
        <v>400</v>
      </c>
      <c r="M72" s="963">
        <v>399</v>
      </c>
      <c r="N72" s="963">
        <v>400.5</v>
      </c>
      <c r="O72" s="963">
        <v>419</v>
      </c>
      <c r="P72" s="74">
        <f t="shared" ref="P72:P82" si="13">SUMPRODUCT($D$7:$O$7,D72:O72)</f>
        <v>4449.5910000000003</v>
      </c>
      <c r="Q72" s="937">
        <f>P72+SUMPRODUCT(1-$D$7:$O$7,D72:O72)</f>
        <v>4868.5910000000003</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89">
        <f>A72+1</f>
        <v>42</v>
      </c>
      <c r="B73" s="1097" t="s">
        <v>13</v>
      </c>
      <c r="C73" s="93" t="s">
        <v>288</v>
      </c>
      <c r="D73" s="890"/>
      <c r="E73" s="891">
        <v>452.5</v>
      </c>
      <c r="F73" s="891">
        <v>226.25</v>
      </c>
      <c r="G73" s="891">
        <v>226.25</v>
      </c>
      <c r="H73" s="891">
        <v>-843</v>
      </c>
      <c r="I73" s="891">
        <v>12.3</v>
      </c>
      <c r="J73" s="891">
        <v>12.3</v>
      </c>
      <c r="K73" s="891">
        <v>-21</v>
      </c>
      <c r="L73" s="891">
        <v>4.75</v>
      </c>
      <c r="M73" s="891">
        <v>5</v>
      </c>
      <c r="N73" s="891">
        <v>5</v>
      </c>
      <c r="O73" s="1065">
        <v>-1</v>
      </c>
      <c r="P73" s="74">
        <f t="shared" si="13"/>
        <v>80.349999999999994</v>
      </c>
      <c r="Q73" s="1066">
        <f>P73+SUMPRODUCT(1-$D$7:$O$7,D73:O73)</f>
        <v>79.349999999999994</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189</v>
      </c>
      <c r="O76" s="1071">
        <v>466</v>
      </c>
      <c r="P76" s="1072">
        <f t="shared" si="13"/>
        <v>1430.69</v>
      </c>
      <c r="Q76" s="1066">
        <f t="shared" si="14"/>
        <v>1896.69</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645.16999999999996</v>
      </c>
      <c r="I77" s="1137">
        <f t="shared" si="15"/>
        <v>543.77</v>
      </c>
      <c r="J77" s="1137">
        <f t="shared" si="15"/>
        <v>543.77</v>
      </c>
      <c r="K77" s="1137">
        <f t="shared" si="15"/>
        <v>502.17</v>
      </c>
      <c r="L77" s="1137">
        <f t="shared" si="15"/>
        <v>528.91999999999996</v>
      </c>
      <c r="M77" s="1137">
        <f t="shared" si="15"/>
        <v>528.16999999999996</v>
      </c>
      <c r="N77" s="1137">
        <f t="shared" si="15"/>
        <v>594.5</v>
      </c>
      <c r="O77" s="1137">
        <f t="shared" si="15"/>
        <v>884</v>
      </c>
      <c r="P77" s="1100">
        <f t="shared" si="13"/>
        <v>5960.6310000000003</v>
      </c>
      <c r="Q77" s="1132">
        <f t="shared" si="14"/>
        <v>6844.6310000000003</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89">
        <f>A77+1</f>
        <v>47</v>
      </c>
      <c r="B79" s="1148" t="s">
        <v>17</v>
      </c>
      <c r="C79" s="82" t="s">
        <v>288</v>
      </c>
      <c r="D79" s="895">
        <v>0</v>
      </c>
      <c r="E79" s="964">
        <v>20.3</v>
      </c>
      <c r="F79" s="964">
        <v>10.17</v>
      </c>
      <c r="G79" s="964">
        <v>10.17</v>
      </c>
      <c r="H79" s="964">
        <v>18</v>
      </c>
      <c r="I79" s="964">
        <v>11.7</v>
      </c>
      <c r="J79" s="964">
        <v>11.7</v>
      </c>
      <c r="K79" s="964">
        <v>11.7</v>
      </c>
      <c r="L79" s="964">
        <v>11.7</v>
      </c>
      <c r="M79" s="964">
        <v>11.7</v>
      </c>
      <c r="N79" s="964">
        <v>11.7</v>
      </c>
      <c r="O79" s="1104">
        <v>12</v>
      </c>
      <c r="P79" s="1080">
        <f t="shared" si="13"/>
        <v>128.84</v>
      </c>
      <c r="Q79" s="1066">
        <f t="shared" si="14"/>
        <v>140.84</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180.61000000000007</v>
      </c>
      <c r="Q81" s="1066">
        <f t="shared" si="14"/>
        <v>197.03000000000009</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34.42</v>
      </c>
      <c r="I82" s="1137">
        <f t="shared" si="16"/>
        <v>28.12</v>
      </c>
      <c r="J82" s="1137">
        <f t="shared" si="16"/>
        <v>28.12</v>
      </c>
      <c r="K82" s="1137">
        <f t="shared" si="16"/>
        <v>28.12</v>
      </c>
      <c r="L82" s="1137">
        <f t="shared" si="16"/>
        <v>28.12</v>
      </c>
      <c r="M82" s="1137">
        <f t="shared" si="16"/>
        <v>28.12</v>
      </c>
      <c r="N82" s="1137">
        <f t="shared" si="16"/>
        <v>28.12</v>
      </c>
      <c r="O82" s="1137">
        <f t="shared" si="16"/>
        <v>28.42</v>
      </c>
      <c r="P82" s="1100">
        <f t="shared" si="13"/>
        <v>309.45000000000005</v>
      </c>
      <c r="Q82" s="1132">
        <f t="shared" si="14"/>
        <v>337.87000000000006</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1" t="s">
        <v>1393</v>
      </c>
      <c r="C96" s="1108" t="s">
        <v>288</v>
      </c>
      <c r="D96" s="3002">
        <v>75</v>
      </c>
      <c r="E96" s="2501">
        <v>49</v>
      </c>
      <c r="F96" s="2501">
        <f>154-SUM(D96:E96)</f>
        <v>30</v>
      </c>
      <c r="G96" s="2501">
        <f>175-SUM(D96:F96)</f>
        <v>21</v>
      </c>
      <c r="H96" s="2501">
        <f>204-SUM(D96:G96)</f>
        <v>29</v>
      </c>
      <c r="I96" s="2501">
        <f>237-SUM(D96:H96)</f>
        <v>33</v>
      </c>
      <c r="J96" s="2501">
        <v>27</v>
      </c>
      <c r="K96" s="2501">
        <v>-1</v>
      </c>
      <c r="L96" s="2501">
        <v>41</v>
      </c>
      <c r="M96" s="2501">
        <v>41</v>
      </c>
      <c r="N96" s="2501">
        <v>21</v>
      </c>
      <c r="O96" s="2501">
        <v>88</v>
      </c>
      <c r="P96" s="1100">
        <f>SUMPRODUCT($D$7:$O$7,D96:O96)</f>
        <v>366</v>
      </c>
      <c r="Q96" s="1132">
        <f>P96+SUMPRODUCT(1-$D$7:$O$7,D96:O96)</f>
        <v>454</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topLeftCell="F1" zoomScale="130" zoomScaleNormal="130" workbookViewId="0">
      <selection activeCell="U14" sqref="U14"/>
    </sheetView>
  </sheetViews>
  <sheetFormatPr defaultColWidth="8.69140625" defaultRowHeight="14.5"/>
  <cols>
    <col min="1" max="2" width="8.69140625" style="2864"/>
    <col min="3" max="3" width="61.23046875" style="2864" bestFit="1" customWidth="1"/>
    <col min="4" max="15" width="8.23046875" style="2864" customWidth="1"/>
    <col min="16" max="17" width="8.69140625" style="2864"/>
    <col min="18" max="18" width="7.07421875" style="2864" customWidth="1"/>
    <col min="19" max="21" width="7.69140625" style="2864" customWidth="1"/>
    <col min="22" max="22" width="2.4609375" style="2864" customWidth="1"/>
    <col min="23" max="25" width="7.69140625" style="2864" customWidth="1"/>
    <col min="26" max="26" width="2.4609375" style="2864" customWidth="1"/>
    <col min="27" max="27" width="16.07421875" style="2864" customWidth="1"/>
    <col min="28" max="16384" width="8.6914062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Feb 24</v>
      </c>
      <c r="AE1" s="1123">
        <f>IF(AC1=AD1,1,0)</f>
        <v>0</v>
      </c>
      <c r="AF1" s="80"/>
      <c r="AG1" s="80"/>
      <c r="AH1" s="80"/>
      <c r="AI1" s="271" t="str">
        <f>Summary!V1</f>
        <v>Apr 23</v>
      </c>
      <c r="AJ1" s="111">
        <v>0</v>
      </c>
      <c r="AK1" s="80"/>
      <c r="AL1" s="80"/>
    </row>
    <row r="2" spans="1:38" s="9" customFormat="1" ht="23">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Feb 24</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Feb 24</v>
      </c>
      <c r="U3" s="80"/>
      <c r="V3" s="80"/>
      <c r="W3" s="1121"/>
      <c r="X3" s="80"/>
      <c r="Y3" s="80"/>
      <c r="Z3" s="80"/>
      <c r="AA3" s="80"/>
      <c r="AB3" s="111"/>
      <c r="AC3" s="1123" t="str">
        <f>+Summary!$V$5</f>
        <v>Aug 23</v>
      </c>
      <c r="AD3" s="1123" t="str">
        <f>+Summary!$H$1</f>
        <v>Feb 24</v>
      </c>
      <c r="AE3" s="1123">
        <f t="shared" si="0"/>
        <v>0</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Feb 24</v>
      </c>
      <c r="AE4" s="1123">
        <f t="shared" si="0"/>
        <v>0</v>
      </c>
      <c r="AF4" s="80"/>
      <c r="AG4" s="80"/>
      <c r="AH4" s="80"/>
      <c r="AI4" s="271" t="str">
        <f>Summary!V4</f>
        <v>Jul 23</v>
      </c>
      <c r="AJ4" s="111">
        <f>SUM($E$37:$G$37)</f>
        <v>0</v>
      </c>
      <c r="AK4" s="80"/>
      <c r="AL4" s="80"/>
    </row>
    <row r="5" spans="1:38" ht="15.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250</v>
      </c>
      <c r="O11" s="2927">
        <f t="shared" si="2"/>
        <v>0</v>
      </c>
      <c r="P11" s="2937">
        <f t="shared" si="2"/>
        <v>250</v>
      </c>
      <c r="Q11" s="2559"/>
      <c r="R11" s="2559"/>
      <c r="S11" s="2967">
        <f t="shared" ref="S11:S36" si="3">IFERROR(
VLOOKUP($C11,$C$72:$P$100,MATCH(LEFT($T$3,3),$C$6:$O$6,0),FALSE)
-VLOOKUP($C11,$C$72:$P$100,MATCH(LEFT($T$3,3),$C$6:$O$6,0)-1,FALSE),0)</f>
        <v>250</v>
      </c>
      <c r="T11" s="2995">
        <f t="shared" ref="T11:T36" si="4">INDEX($D11:$O11,1,MATCH(LEFT($T$3,3),$D$6:$O$6,0))</f>
        <v>250</v>
      </c>
      <c r="U11" s="2996">
        <f t="shared" ref="U11:U35" si="5">P11</f>
        <v>250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0</v>
      </c>
      <c r="H12" s="2926">
        <f t="shared" si="2"/>
        <v>0</v>
      </c>
      <c r="I12" s="2926">
        <f t="shared" si="2"/>
        <v>0</v>
      </c>
      <c r="J12" s="2926">
        <f t="shared" si="2"/>
        <v>0</v>
      </c>
      <c r="K12" s="2926">
        <f t="shared" si="2"/>
        <v>0</v>
      </c>
      <c r="L12" s="2926">
        <f t="shared" si="2"/>
        <v>0</v>
      </c>
      <c r="M12" s="2926">
        <f t="shared" si="2"/>
        <v>0</v>
      </c>
      <c r="N12" s="2926">
        <f t="shared" si="2"/>
        <v>249</v>
      </c>
      <c r="O12" s="2927">
        <f t="shared" si="2"/>
        <v>-2</v>
      </c>
      <c r="P12" s="2937">
        <f t="shared" si="2"/>
        <v>247</v>
      </c>
      <c r="Q12" s="2559"/>
      <c r="R12" s="2559"/>
      <c r="S12" s="2967">
        <f t="shared" si="3"/>
        <v>221</v>
      </c>
      <c r="T12" s="2995">
        <f>INDEX($D12:$O12,1,MATCH(LEFT($T$3,3),$D$6:$O$6,0))</f>
        <v>249</v>
      </c>
      <c r="U12" s="2996">
        <f t="shared" si="5"/>
        <v>247</v>
      </c>
      <c r="V12" s="2887"/>
      <c r="W12" s="2984">
        <f t="shared" si="6"/>
        <v>0.1067117334620956</v>
      </c>
      <c r="X12" s="2985">
        <f t="shared" si="7"/>
        <v>0.12187958883994127</v>
      </c>
      <c r="Y12" s="2986">
        <f t="shared" ref="Y12" si="9">IF($Q43=0,0,U12/$Q43)</f>
        <v>0.12090063631913853</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0</v>
      </c>
      <c r="G13" s="2925">
        <f t="shared" si="2"/>
        <v>0</v>
      </c>
      <c r="H13" s="2926">
        <f t="shared" si="2"/>
        <v>0</v>
      </c>
      <c r="I13" s="2926">
        <f t="shared" si="2"/>
        <v>0</v>
      </c>
      <c r="J13" s="2926">
        <f t="shared" si="2"/>
        <v>0</v>
      </c>
      <c r="K13" s="2926">
        <f t="shared" si="2"/>
        <v>0</v>
      </c>
      <c r="L13" s="2926">
        <f t="shared" si="2"/>
        <v>0</v>
      </c>
      <c r="M13" s="2926">
        <f t="shared" si="2"/>
        <v>0</v>
      </c>
      <c r="N13" s="2926">
        <f t="shared" si="2"/>
        <v>1</v>
      </c>
      <c r="O13" s="2927">
        <f t="shared" si="2"/>
        <v>0</v>
      </c>
      <c r="P13" s="2937">
        <f t="shared" si="2"/>
        <v>1</v>
      </c>
      <c r="Q13" s="2559"/>
      <c r="R13" s="2559"/>
      <c r="S13" s="2967">
        <f t="shared" si="3"/>
        <v>1</v>
      </c>
      <c r="T13" s="2995">
        <f t="shared" si="4"/>
        <v>1</v>
      </c>
      <c r="U13" s="2996">
        <f t="shared" si="5"/>
        <v>1</v>
      </c>
      <c r="V13" s="2887"/>
      <c r="W13" s="2984">
        <f t="shared" si="6"/>
        <v>5.2631578947368418E-2</v>
      </c>
      <c r="X13" s="2985">
        <f t="shared" si="7"/>
        <v>5.2631578947368418E-2</v>
      </c>
      <c r="Y13" s="2986">
        <f t="shared" ref="Y13" si="10">IF($Q44=0,0,U13/$Q44)</f>
        <v>5.2631578947368418E-2</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0</v>
      </c>
      <c r="H14" s="2926">
        <f t="shared" si="2"/>
        <v>0</v>
      </c>
      <c r="I14" s="2926">
        <f t="shared" si="2"/>
        <v>0</v>
      </c>
      <c r="J14" s="2926">
        <f t="shared" si="2"/>
        <v>0</v>
      </c>
      <c r="K14" s="2926">
        <f t="shared" si="2"/>
        <v>0</v>
      </c>
      <c r="L14" s="2926">
        <f t="shared" si="2"/>
        <v>0</v>
      </c>
      <c r="M14" s="2926">
        <f t="shared" si="2"/>
        <v>0</v>
      </c>
      <c r="N14" s="2926">
        <f t="shared" si="2"/>
        <v>-8842</v>
      </c>
      <c r="O14" s="2927">
        <f t="shared" si="2"/>
        <v>1132.6617466666648</v>
      </c>
      <c r="P14" s="2937">
        <f t="shared" si="2"/>
        <v>-7709.3382533333497</v>
      </c>
      <c r="Q14" s="2559"/>
      <c r="R14" s="2559"/>
      <c r="S14" s="2967">
        <f t="shared" si="3"/>
        <v>-8158</v>
      </c>
      <c r="T14" s="2995">
        <f t="shared" si="4"/>
        <v>-8842</v>
      </c>
      <c r="U14" s="2996">
        <f t="shared" si="5"/>
        <v>-7709.3382533333497</v>
      </c>
      <c r="V14" s="2887"/>
      <c r="W14" s="2984">
        <f t="shared" si="6"/>
        <v>-0.4465487985111391</v>
      </c>
      <c r="X14" s="2985">
        <f t="shared" si="7"/>
        <v>-0.46652245027172479</v>
      </c>
      <c r="Y14" s="2986">
        <f t="shared" ref="Y14" si="11">IF($Q45=0,0,U14/$Q45)</f>
        <v>-0.34879148773168123</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0</v>
      </c>
      <c r="H15" s="2930">
        <f t="shared" si="2"/>
        <v>0</v>
      </c>
      <c r="I15" s="2930">
        <f t="shared" si="2"/>
        <v>0</v>
      </c>
      <c r="J15" s="2930">
        <f t="shared" si="2"/>
        <v>0</v>
      </c>
      <c r="K15" s="2930">
        <f t="shared" si="2"/>
        <v>0</v>
      </c>
      <c r="L15" s="2930">
        <f t="shared" si="2"/>
        <v>0</v>
      </c>
      <c r="M15" s="2930">
        <f t="shared" si="2"/>
        <v>0</v>
      </c>
      <c r="N15" s="2930">
        <f t="shared" si="2"/>
        <v>15</v>
      </c>
      <c r="O15" s="2931">
        <f t="shared" si="2"/>
        <v>-5</v>
      </c>
      <c r="P15" s="2938">
        <f t="shared" si="2"/>
        <v>10</v>
      </c>
      <c r="Q15" s="2559"/>
      <c r="R15" s="2559"/>
      <c r="S15" s="2968">
        <f t="shared" si="3"/>
        <v>-32</v>
      </c>
      <c r="T15" s="2997">
        <f t="shared" si="4"/>
        <v>15</v>
      </c>
      <c r="U15" s="2998">
        <f t="shared" si="5"/>
        <v>10</v>
      </c>
      <c r="V15" s="2887"/>
      <c r="W15" s="2987">
        <f t="shared" si="6"/>
        <v>-5.7142857142857141E-2</v>
      </c>
      <c r="X15" s="2988">
        <f t="shared" si="7"/>
        <v>2.9239766081871343E-2</v>
      </c>
      <c r="Y15" s="2989">
        <f t="shared" ref="Y15" si="12">IF($Q46=0,0,U15/$Q46)</f>
        <v>1.9305019305019305E-2</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0</v>
      </c>
      <c r="G16" s="2953">
        <f t="shared" si="2"/>
        <v>0</v>
      </c>
      <c r="H16" s="2954">
        <f t="shared" si="2"/>
        <v>0</v>
      </c>
      <c r="I16" s="2954">
        <f t="shared" si="2"/>
        <v>0</v>
      </c>
      <c r="J16" s="2954">
        <f t="shared" si="2"/>
        <v>0</v>
      </c>
      <c r="K16" s="2954">
        <f t="shared" si="2"/>
        <v>0</v>
      </c>
      <c r="L16" s="2954">
        <f t="shared" si="2"/>
        <v>0</v>
      </c>
      <c r="M16" s="2954">
        <f t="shared" si="2"/>
        <v>0</v>
      </c>
      <c r="N16" s="2954">
        <f t="shared" si="2"/>
        <v>-8327</v>
      </c>
      <c r="O16" s="2955">
        <f t="shared" si="2"/>
        <v>1125.6617466666648</v>
      </c>
      <c r="P16" s="2956">
        <f t="shared" si="2"/>
        <v>-7201.3382533333497</v>
      </c>
      <c r="Q16" s="2559"/>
      <c r="R16" s="2559"/>
      <c r="S16" s="2969">
        <f t="shared" si="3"/>
        <v>-7718</v>
      </c>
      <c r="T16" s="2972">
        <f t="shared" si="4"/>
        <v>-8327</v>
      </c>
      <c r="U16" s="2956">
        <f t="shared" si="5"/>
        <v>-7201.3382533333497</v>
      </c>
      <c r="V16" s="2887"/>
      <c r="W16" s="2973">
        <f t="shared" si="6"/>
        <v>-0.36894689038672979</v>
      </c>
      <c r="X16" s="2974">
        <f t="shared" si="7"/>
        <v>-0.38679858788554439</v>
      </c>
      <c r="Y16" s="2975">
        <f t="shared" ref="Y16" si="13">IF($Q47=0,0,U16/$Q47)</f>
        <v>-0.29175295763616049</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0</v>
      </c>
      <c r="H19" s="2926">
        <f t="shared" si="2"/>
        <v>0</v>
      </c>
      <c r="I19" s="2926">
        <f t="shared" si="2"/>
        <v>0</v>
      </c>
      <c r="J19" s="2926">
        <f t="shared" si="2"/>
        <v>0</v>
      </c>
      <c r="K19" s="2926">
        <f t="shared" si="2"/>
        <v>0</v>
      </c>
      <c r="L19" s="2926">
        <f t="shared" si="2"/>
        <v>0</v>
      </c>
      <c r="M19" s="2926">
        <f t="shared" si="2"/>
        <v>0</v>
      </c>
      <c r="N19" s="2926">
        <f t="shared" si="2"/>
        <v>-4146</v>
      </c>
      <c r="O19" s="2927">
        <f t="shared" si="2"/>
        <v>-14.06258333333426</v>
      </c>
      <c r="P19" s="2937">
        <f t="shared" si="2"/>
        <v>-4160.062583333347</v>
      </c>
      <c r="Q19" s="2559"/>
      <c r="R19" s="2559"/>
      <c r="S19" s="2967">
        <f t="shared" si="3"/>
        <v>-3436</v>
      </c>
      <c r="T19" s="2995">
        <f t="shared" si="4"/>
        <v>-4146</v>
      </c>
      <c r="U19" s="2996">
        <f t="shared" si="5"/>
        <v>-4160.062583333347</v>
      </c>
      <c r="V19" s="2887"/>
      <c r="W19" s="2984">
        <f t="shared" si="6"/>
        <v>-0.29743767313019392</v>
      </c>
      <c r="X19" s="2985">
        <f t="shared" si="7"/>
        <v>-0.33811776219213829</v>
      </c>
      <c r="Y19" s="2986">
        <f t="shared" ref="Y19" si="16">IF($Q50=0,0,U19/$Q50)</f>
        <v>-0.33237956082880687</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0</v>
      </c>
      <c r="G20" s="2925">
        <f t="shared" si="2"/>
        <v>-0.17999999999938154</v>
      </c>
      <c r="H20" s="2926">
        <f t="shared" si="2"/>
        <v>0.41000000000076398</v>
      </c>
      <c r="I20" s="2926">
        <f t="shared" si="2"/>
        <v>0</v>
      </c>
      <c r="J20" s="2926">
        <f t="shared" si="2"/>
        <v>0.11000000000058208</v>
      </c>
      <c r="K20" s="2926">
        <f t="shared" si="2"/>
        <v>0</v>
      </c>
      <c r="L20" s="2926">
        <f t="shared" si="2"/>
        <v>-3.9999999997235136E-2</v>
      </c>
      <c r="M20" s="2926">
        <f t="shared" si="2"/>
        <v>-0.29000000000451109</v>
      </c>
      <c r="N20" s="2926">
        <f t="shared" si="2"/>
        <v>-4069.6199999999953</v>
      </c>
      <c r="O20" s="2927">
        <f t="shared" si="2"/>
        <v>1039.304329999999</v>
      </c>
      <c r="P20" s="2937">
        <f t="shared" si="2"/>
        <v>-3030.5956699999952</v>
      </c>
      <c r="Q20" s="2559"/>
      <c r="R20" s="2559"/>
      <c r="S20" s="2967">
        <f t="shared" si="3"/>
        <v>-4341.3299999999908</v>
      </c>
      <c r="T20" s="2995">
        <f t="shared" si="4"/>
        <v>-4069.6199999999953</v>
      </c>
      <c r="U20" s="2996">
        <f t="shared" si="5"/>
        <v>-3030.5956699999952</v>
      </c>
      <c r="V20" s="2887"/>
      <c r="W20" s="2984">
        <f t="shared" si="6"/>
        <v>-0.4953192975010004</v>
      </c>
      <c r="X20" s="2985">
        <f t="shared" si="7"/>
        <v>-0.47917343694807435</v>
      </c>
      <c r="Y20" s="2986">
        <f t="shared" ref="Y20" si="17">IF($Q51=0,0,U20/$Q51)</f>
        <v>-0.26444988394415314</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0.16999999999995907</v>
      </c>
      <c r="I31" s="2926">
        <f t="shared" si="23"/>
        <v>0</v>
      </c>
      <c r="J31" s="2926">
        <f t="shared" si="23"/>
        <v>0</v>
      </c>
      <c r="K31" s="2926">
        <f t="shared" si="23"/>
        <v>0</v>
      </c>
      <c r="L31" s="2926">
        <f t="shared" si="23"/>
        <v>-8.0000000000040927E-2</v>
      </c>
      <c r="M31" s="2926">
        <f t="shared" si="23"/>
        <v>0.16999999999995907</v>
      </c>
      <c r="N31" s="2926">
        <f t="shared" si="23"/>
        <v>-149.5</v>
      </c>
      <c r="O31" s="2927">
        <f t="shared" si="23"/>
        <v>140</v>
      </c>
      <c r="P31" s="2937">
        <f t="shared" si="23"/>
        <v>-9.0799999999990177</v>
      </c>
      <c r="Q31" s="2559"/>
      <c r="R31" s="2559"/>
      <c r="S31" s="2967">
        <f t="shared" si="3"/>
        <v>66.330000000000041</v>
      </c>
      <c r="T31" s="2995">
        <f t="shared" si="4"/>
        <v>-149.5</v>
      </c>
      <c r="U31" s="2996">
        <f t="shared" si="5"/>
        <v>-9.0799999999990177</v>
      </c>
      <c r="V31" s="2887"/>
      <c r="W31" s="2984">
        <f t="shared" si="6"/>
        <v>0.12558456557547767</v>
      </c>
      <c r="X31" s="2985">
        <f t="shared" si="7"/>
        <v>-0.20094086021505375</v>
      </c>
      <c r="Y31" s="2986">
        <f t="shared" ref="Y31" si="29">IF($Q62=0,0,U31/$Q62)</f>
        <v>-1.2204301075267498E-2</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0.42000000000000171</v>
      </c>
      <c r="I32" s="2926">
        <f t="shared" si="23"/>
        <v>0</v>
      </c>
      <c r="J32" s="2926">
        <f t="shared" si="23"/>
        <v>0</v>
      </c>
      <c r="K32" s="2926">
        <f t="shared" si="23"/>
        <v>0</v>
      </c>
      <c r="L32" s="2926">
        <f t="shared" si="23"/>
        <v>0.12000000000000099</v>
      </c>
      <c r="M32" s="2926">
        <f t="shared" si="23"/>
        <v>0.12000000000000099</v>
      </c>
      <c r="N32" s="2926">
        <f t="shared" si="23"/>
        <v>0.12000000000000099</v>
      </c>
      <c r="O32" s="2927">
        <f t="shared" si="23"/>
        <v>0.42000000000000171</v>
      </c>
      <c r="P32" s="2937">
        <f t="shared" si="23"/>
        <v>1.3300000000000409</v>
      </c>
      <c r="Q32" s="2559"/>
      <c r="R32" s="2559"/>
      <c r="S32" s="2967">
        <f t="shared" si="3"/>
        <v>0</v>
      </c>
      <c r="T32" s="2995">
        <f t="shared" si="4"/>
        <v>0.12000000000000099</v>
      </c>
      <c r="U32" s="2996">
        <f t="shared" si="5"/>
        <v>1.3300000000000409</v>
      </c>
      <c r="V32" s="2887"/>
      <c r="W32" s="2984">
        <f t="shared" si="6"/>
        <v>0</v>
      </c>
      <c r="X32" s="2985">
        <f t="shared" si="7"/>
        <v>4.2857142857143215E-3</v>
      </c>
      <c r="Y32" s="2986">
        <f t="shared" ref="Y32" si="30">IF($Q63=0,0,U32/$Q63)</f>
        <v>4.7500000000001465E-2</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9.01</v>
      </c>
      <c r="L34" s="2926">
        <f t="shared" si="23"/>
        <v>0</v>
      </c>
      <c r="M34" s="2926">
        <f t="shared" si="23"/>
        <v>0</v>
      </c>
      <c r="N34" s="2926">
        <f t="shared" si="23"/>
        <v>0</v>
      </c>
      <c r="O34" s="2927">
        <f t="shared" si="23"/>
        <v>0</v>
      </c>
      <c r="P34" s="2937">
        <f t="shared" si="23"/>
        <v>9.01</v>
      </c>
      <c r="Q34" s="2559"/>
      <c r="R34" s="2559"/>
      <c r="S34" s="2967">
        <f t="shared" si="3"/>
        <v>0</v>
      </c>
      <c r="T34" s="2995">
        <f t="shared" si="4"/>
        <v>0</v>
      </c>
      <c r="U34" s="2996">
        <f t="shared" si="5"/>
        <v>9.01</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0</v>
      </c>
      <c r="G35" s="2953">
        <f t="shared" si="23"/>
        <v>-0.18000000000029104</v>
      </c>
      <c r="H35" s="2954">
        <f t="shared" si="23"/>
        <v>0.99999999999636202</v>
      </c>
      <c r="I35" s="2954">
        <f t="shared" si="23"/>
        <v>0</v>
      </c>
      <c r="J35" s="2954">
        <f t="shared" si="23"/>
        <v>0.11000000000058208</v>
      </c>
      <c r="K35" s="2954">
        <f t="shared" si="23"/>
        <v>9.0099999999983993</v>
      </c>
      <c r="L35" s="2954">
        <f t="shared" si="23"/>
        <v>0</v>
      </c>
      <c r="M35" s="2954">
        <f t="shared" si="23"/>
        <v>0</v>
      </c>
      <c r="N35" s="2954">
        <f t="shared" si="23"/>
        <v>-8364.9999999999945</v>
      </c>
      <c r="O35" s="2955">
        <f t="shared" si="23"/>
        <v>1165.6617466666648</v>
      </c>
      <c r="P35" s="2956">
        <f t="shared" si="23"/>
        <v>-7189.3982533333474</v>
      </c>
      <c r="Q35" s="2559"/>
      <c r="R35" s="2559"/>
      <c r="S35" s="2969">
        <f t="shared" si="3"/>
        <v>-7710.9999999999873</v>
      </c>
      <c r="T35" s="2972">
        <f t="shared" si="4"/>
        <v>-8364.9999999999945</v>
      </c>
      <c r="U35" s="2956">
        <f t="shared" si="5"/>
        <v>-7189.3982533333474</v>
      </c>
      <c r="V35" s="2887"/>
      <c r="W35" s="2973">
        <f t="shared" si="6"/>
        <v>-0.36942461553202655</v>
      </c>
      <c r="X35" s="2974">
        <f t="shared" si="7"/>
        <v>-0.38858178101918495</v>
      </c>
      <c r="Y35" s="2975">
        <f t="shared" ref="Y35" si="33">IF($Q66=0,0,U35/$Q66)</f>
        <v>-0.29050421259630466</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0</v>
      </c>
      <c r="F36" s="2959">
        <f t="shared" si="23"/>
        <v>0</v>
      </c>
      <c r="G36" s="2959">
        <f t="shared" si="23"/>
        <v>0.18000000000029104</v>
      </c>
      <c r="H36" s="2960">
        <f t="shared" si="23"/>
        <v>-0.99999999999636202</v>
      </c>
      <c r="I36" s="2960">
        <f t="shared" si="23"/>
        <v>0</v>
      </c>
      <c r="J36" s="2960">
        <f t="shared" si="23"/>
        <v>-0.11000000000058208</v>
      </c>
      <c r="K36" s="2960">
        <f t="shared" si="23"/>
        <v>-9.0099999999983993</v>
      </c>
      <c r="L36" s="2960">
        <f t="shared" si="23"/>
        <v>-3.637978807091713E-12</v>
      </c>
      <c r="M36" s="2960">
        <f t="shared" si="23"/>
        <v>7.2759576141834259E-12</v>
      </c>
      <c r="N36" s="2960">
        <f t="shared" si="23"/>
        <v>37.999999999994543</v>
      </c>
      <c r="O36" s="2961">
        <f t="shared" si="23"/>
        <v>-40</v>
      </c>
      <c r="P36" s="2962">
        <f t="shared" si="23"/>
        <v>-11.939999999996871</v>
      </c>
      <c r="Q36" s="2559"/>
      <c r="R36" s="2559"/>
      <c r="S36" s="2971">
        <f t="shared" si="3"/>
        <v>-7.0000000000127329</v>
      </c>
      <c r="T36" s="2976">
        <f t="shared" si="4"/>
        <v>37.999999999994543</v>
      </c>
      <c r="U36" s="2977">
        <f>P36</f>
        <v>-11.939999999996871</v>
      </c>
      <c r="V36" s="2887"/>
      <c r="W36" s="2978">
        <f t="shared" si="6"/>
        <v>-0.15217391304373099</v>
      </c>
      <c r="X36" s="2979">
        <f t="shared" si="7"/>
        <v>37.999999999994543</v>
      </c>
      <c r="Y36" s="2980">
        <f t="shared" ref="Y36" si="34">IF($Q67=0,0,U36/$Q67)</f>
        <v>0.18369230769225955</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2258</v>
      </c>
      <c r="H43" s="2905">
        <v>2227</v>
      </c>
      <c r="I43" s="2905">
        <v>2035</v>
      </c>
      <c r="J43" s="2906">
        <v>1918</v>
      </c>
      <c r="K43" s="2906">
        <v>2623</v>
      </c>
      <c r="L43" s="2906">
        <v>2118</v>
      </c>
      <c r="M43" s="2906">
        <v>2071</v>
      </c>
      <c r="N43" s="2906">
        <v>2043</v>
      </c>
      <c r="O43" s="2906">
        <v>2043</v>
      </c>
      <c r="P43" s="2937">
        <f t="shared" si="36"/>
        <v>25385</v>
      </c>
      <c r="Q43" s="2937">
        <f>IF(LEFT($T$3,3)="Mar",0,SUM(INDEX($D43:$O43,1,MATCH(LEFT($T$3,3),$D$6:$O$6,0)+1):$O43))</f>
        <v>2043</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16</v>
      </c>
      <c r="G44" s="2905">
        <v>27</v>
      </c>
      <c r="H44" s="2906">
        <v>19</v>
      </c>
      <c r="I44" s="2906">
        <v>19</v>
      </c>
      <c r="J44" s="2906">
        <v>19</v>
      </c>
      <c r="K44" s="2906">
        <v>11</v>
      </c>
      <c r="L44" s="2906">
        <v>27</v>
      </c>
      <c r="M44" s="2906">
        <v>19</v>
      </c>
      <c r="N44" s="2906">
        <v>19</v>
      </c>
      <c r="O44" s="2907">
        <v>19</v>
      </c>
      <c r="P44" s="2937">
        <f t="shared" si="36"/>
        <v>229</v>
      </c>
      <c r="Q44" s="2937">
        <f>IF(LEFT($T$3,3)="Mar",0,SUM(INDEX($D44:$O44,1,MATCH(LEFT($T$3,3),$D$6:$O$6,0)+1):$O44))</f>
        <v>19</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17884</v>
      </c>
      <c r="H45" s="2906">
        <v>17098</v>
      </c>
      <c r="I45" s="2906">
        <v>17332</v>
      </c>
      <c r="J45" s="2906">
        <v>18104</v>
      </c>
      <c r="K45" s="2906">
        <v>16567</v>
      </c>
      <c r="L45" s="2906">
        <v>12701</v>
      </c>
      <c r="M45" s="2906">
        <v>18269</v>
      </c>
      <c r="N45" s="2906">
        <v>18953</v>
      </c>
      <c r="O45" s="2907">
        <v>22103</v>
      </c>
      <c r="P45" s="2937">
        <f t="shared" si="36"/>
        <v>206976</v>
      </c>
      <c r="Q45" s="2937">
        <f>IF(LEFT($T$3,3)="Mar",0,SUM(INDEX($D45:$O45,1,MATCH(LEFT($T$3,3),$D$6:$O$6,0)+1):$O45))</f>
        <v>22103</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669</v>
      </c>
      <c r="H46" s="2910">
        <v>561</v>
      </c>
      <c r="I46" s="2910">
        <v>427</v>
      </c>
      <c r="J46" s="2910">
        <v>613</v>
      </c>
      <c r="K46" s="2910">
        <v>1007</v>
      </c>
      <c r="L46" s="2910">
        <v>645</v>
      </c>
      <c r="M46" s="2910">
        <v>560</v>
      </c>
      <c r="N46" s="2910">
        <v>513</v>
      </c>
      <c r="O46" s="2911">
        <v>518</v>
      </c>
      <c r="P46" s="2938">
        <f t="shared" si="36"/>
        <v>7146</v>
      </c>
      <c r="Q46" s="2938">
        <f>IF(LEFT($T$3,3)="Mar",0,SUM(INDEX($D46:$O46,1,MATCH(LEFT($T$3,3),$D$6:$O$6,0)+1):$O46))</f>
        <v>518</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18983</v>
      </c>
      <c r="G47" s="2875">
        <f t="shared" si="37"/>
        <v>20838</v>
      </c>
      <c r="H47" s="2876">
        <f t="shared" si="37"/>
        <v>19905</v>
      </c>
      <c r="I47" s="2876">
        <f t="shared" si="37"/>
        <v>19813</v>
      </c>
      <c r="J47" s="2876">
        <f t="shared" si="37"/>
        <v>20654</v>
      </c>
      <c r="K47" s="2876">
        <f t="shared" si="37"/>
        <v>20208</v>
      </c>
      <c r="L47" s="2876">
        <f t="shared" si="37"/>
        <v>15491</v>
      </c>
      <c r="M47" s="2876">
        <f t="shared" si="37"/>
        <v>20919</v>
      </c>
      <c r="N47" s="2876">
        <f t="shared" si="37"/>
        <v>21528</v>
      </c>
      <c r="O47" s="2877">
        <f>SUM(O41:O46)</f>
        <v>24683</v>
      </c>
      <c r="P47" s="2878">
        <f t="shared" si="36"/>
        <v>239736</v>
      </c>
      <c r="Q47" s="2878">
        <f>IF(LEFT($T$3,3)="Mar",0,SUM(INDEX($D47:$O47,1,MATCH(LEFT($T$3,3),$D$6:$O$6,0)+1):$O47))</f>
        <v>24683</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12349</v>
      </c>
      <c r="H50" s="2906">
        <v>11570</v>
      </c>
      <c r="I50" s="2906">
        <v>11261</v>
      </c>
      <c r="J50" s="2906">
        <v>11643</v>
      </c>
      <c r="K50" s="2906">
        <v>11349</v>
      </c>
      <c r="L50" s="2906">
        <v>11571</v>
      </c>
      <c r="M50" s="2906">
        <v>11552</v>
      </c>
      <c r="N50" s="2906">
        <v>12262</v>
      </c>
      <c r="O50" s="2907">
        <v>12516</v>
      </c>
      <c r="P50" s="2937">
        <f t="shared" si="36"/>
        <v>140471</v>
      </c>
      <c r="Q50" s="2937">
        <f>IF(LEFT($T$3,3)="Mar",0,SUM(INDEX($D50:$O50,1,MATCH(LEFT($T$3,3),$D$6:$O$6,0)+1):$O50))</f>
        <v>12516</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4736.8200000000006</v>
      </c>
      <c r="G51" s="2905">
        <v>7850</v>
      </c>
      <c r="H51" s="2906">
        <v>7802</v>
      </c>
      <c r="I51" s="2906">
        <v>7866.1100000000006</v>
      </c>
      <c r="J51" s="2906">
        <v>8443</v>
      </c>
      <c r="K51" s="2906">
        <v>8427.7000000000007</v>
      </c>
      <c r="L51" s="2906">
        <v>3355</v>
      </c>
      <c r="M51" s="2906">
        <v>8765</v>
      </c>
      <c r="N51" s="2906">
        <v>8493</v>
      </c>
      <c r="O51" s="2907">
        <v>11460</v>
      </c>
      <c r="P51" s="2937">
        <f t="shared" si="36"/>
        <v>92062.808999999994</v>
      </c>
      <c r="Q51" s="2937">
        <f>IF(LEFT($T$3,3)="Mar",0,SUM(INDEX($D51:$O51,1,MATCH(LEFT($T$3,3),$D$6:$O$6,0)+1):$O51))</f>
        <v>11460</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645</v>
      </c>
      <c r="I62" s="2917">
        <v>543.77</v>
      </c>
      <c r="J62" s="2917">
        <v>543.77</v>
      </c>
      <c r="K62" s="2917">
        <v>502.17</v>
      </c>
      <c r="L62" s="2917">
        <v>529</v>
      </c>
      <c r="M62" s="2917">
        <v>528</v>
      </c>
      <c r="N62" s="2917">
        <v>744</v>
      </c>
      <c r="O62" s="2917">
        <v>744</v>
      </c>
      <c r="P62" s="2937">
        <f t="shared" si="36"/>
        <v>6853.7109999999993</v>
      </c>
      <c r="Q62" s="2937">
        <f>IF(LEFT($T$3,3)="Mar",0,SUM(INDEX($D62:$O62,1,MATCH(LEFT($T$3,3),$D$6:$O$6,0)+1):$O62))</f>
        <v>744</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34</v>
      </c>
      <c r="I63" s="2917">
        <v>28.12</v>
      </c>
      <c r="J63" s="2917">
        <v>28.12</v>
      </c>
      <c r="K63" s="2917">
        <v>28.12</v>
      </c>
      <c r="L63" s="2917">
        <v>28</v>
      </c>
      <c r="M63" s="2917">
        <v>28</v>
      </c>
      <c r="N63" s="2917">
        <v>28</v>
      </c>
      <c r="O63" s="2917">
        <v>28</v>
      </c>
      <c r="P63" s="2937">
        <f t="shared" si="36"/>
        <v>336.54</v>
      </c>
      <c r="Q63" s="2937">
        <f>IF(LEFT($T$3,3)="Mar",0,SUM(INDEX($D63:$O63,1,MATCH(LEFT($T$3,3),$D$6:$O$6,0)+1):$O63))</f>
        <v>28</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18972</v>
      </c>
      <c r="G66" s="2875">
        <f t="shared" si="38"/>
        <v>20744.18</v>
      </c>
      <c r="H66" s="2876">
        <f t="shared" si="38"/>
        <v>20051</v>
      </c>
      <c r="I66" s="2876">
        <f t="shared" si="38"/>
        <v>19699</v>
      </c>
      <c r="J66" s="2876">
        <f t="shared" si="38"/>
        <v>20657.89</v>
      </c>
      <c r="K66" s="2876">
        <f t="shared" si="38"/>
        <v>20306.989999999998</v>
      </c>
      <c r="L66" s="2876">
        <f t="shared" si="38"/>
        <v>15483</v>
      </c>
      <c r="M66" s="2876">
        <f t="shared" si="38"/>
        <v>20873</v>
      </c>
      <c r="N66" s="2876">
        <f t="shared" si="38"/>
        <v>21527</v>
      </c>
      <c r="O66" s="2877">
        <f t="shared" si="38"/>
        <v>24748</v>
      </c>
      <c r="P66" s="2878">
        <f t="shared" si="36"/>
        <v>239724.06</v>
      </c>
      <c r="Q66" s="2878">
        <f>IF(LEFT($T$3,3)="Mar",0,SUM(INDEX($D66:$O66,1,MATCH(LEFT($T$3,3),$D$6:$O$6,0)+1):$O66))</f>
        <v>24748</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2</v>
      </c>
      <c r="F67" s="2883">
        <f t="shared" si="39"/>
        <v>11</v>
      </c>
      <c r="G67" s="2883">
        <f t="shared" si="39"/>
        <v>93.819999999999709</v>
      </c>
      <c r="H67" s="2884">
        <f t="shared" si="39"/>
        <v>-146</v>
      </c>
      <c r="I67" s="2884">
        <f t="shared" si="39"/>
        <v>114</v>
      </c>
      <c r="J67" s="2884">
        <f t="shared" si="39"/>
        <v>-3.8899999999994179</v>
      </c>
      <c r="K67" s="2884">
        <f t="shared" si="39"/>
        <v>-98.989999999997963</v>
      </c>
      <c r="L67" s="2884">
        <f t="shared" si="39"/>
        <v>8</v>
      </c>
      <c r="M67" s="2884">
        <f t="shared" si="39"/>
        <v>46</v>
      </c>
      <c r="N67" s="2884">
        <f t="shared" si="39"/>
        <v>1</v>
      </c>
      <c r="O67" s="2885">
        <f t="shared" si="39"/>
        <v>-65</v>
      </c>
      <c r="P67" s="2886">
        <f t="shared" si="36"/>
        <v>11.940000000002328</v>
      </c>
      <c r="Q67" s="2886">
        <f>IF(LEFT($T$3,3)="Mar",0,SUM(INDEX($D67:$O67,1,MATCH(LEFT($T$3,3),$D$6:$O$6,0)+1):$O67))</f>
        <v>-65</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250</v>
      </c>
      <c r="O75" s="2927">
        <f>'B - Monthly Positions'!O12</f>
        <v>0</v>
      </c>
      <c r="P75" s="2937">
        <f t="shared" ref="P75:P100" si="41">SUM(D75:O75)</f>
        <v>250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2227</v>
      </c>
      <c r="I76" s="2926">
        <f>'B - Monthly Positions'!I13</f>
        <v>2035</v>
      </c>
      <c r="J76" s="2926">
        <f>'B - Monthly Positions'!J13</f>
        <v>1918</v>
      </c>
      <c r="K76" s="2926">
        <f>'B - Monthly Positions'!K13</f>
        <v>2623</v>
      </c>
      <c r="L76" s="2926">
        <f>'B - Monthly Positions'!L13</f>
        <v>2118</v>
      </c>
      <c r="M76" s="2926">
        <f>'B - Monthly Positions'!M13</f>
        <v>2071</v>
      </c>
      <c r="N76" s="2926">
        <f>'B - Monthly Positions'!N13</f>
        <v>2292</v>
      </c>
      <c r="O76" s="2927">
        <f>'B - Monthly Positions'!O13</f>
        <v>2041</v>
      </c>
      <c r="P76" s="2937">
        <f t="shared" si="41"/>
        <v>25632</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19</v>
      </c>
      <c r="I77" s="2926">
        <f>'B - Monthly Positions'!I14</f>
        <v>19</v>
      </c>
      <c r="J77" s="2926">
        <f>'B - Monthly Positions'!J14</f>
        <v>19</v>
      </c>
      <c r="K77" s="2926">
        <f>'B - Monthly Positions'!K14</f>
        <v>11</v>
      </c>
      <c r="L77" s="2926">
        <f>'B - Monthly Positions'!L14</f>
        <v>27</v>
      </c>
      <c r="M77" s="2926">
        <f>'B - Monthly Positions'!M14</f>
        <v>19</v>
      </c>
      <c r="N77" s="2926">
        <f>'B - Monthly Positions'!N14</f>
        <v>20</v>
      </c>
      <c r="O77" s="2927">
        <f>'B - Monthly Positions'!O14</f>
        <v>19</v>
      </c>
      <c r="P77" s="2937">
        <f t="shared" si="41"/>
        <v>230</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17098</v>
      </c>
      <c r="I78" s="2926">
        <f>'B - Monthly Positions'!I15</f>
        <v>17332</v>
      </c>
      <c r="J78" s="2926">
        <f>'B - Monthly Positions'!J15</f>
        <v>18104</v>
      </c>
      <c r="K78" s="2926">
        <f>'B - Monthly Positions'!K15</f>
        <v>16567</v>
      </c>
      <c r="L78" s="2926">
        <f>'B - Monthly Positions'!L15</f>
        <v>12701</v>
      </c>
      <c r="M78" s="2926">
        <f>'B - Monthly Positions'!M15</f>
        <v>18269</v>
      </c>
      <c r="N78" s="2926">
        <f>'B - Monthly Positions'!N15</f>
        <v>10111</v>
      </c>
      <c r="O78" s="2927">
        <f>'B - Monthly Positions'!O15</f>
        <v>23235.661746666665</v>
      </c>
      <c r="P78" s="2937">
        <f t="shared" si="41"/>
        <v>199266.66174666665</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561</v>
      </c>
      <c r="I79" s="2930">
        <f>'B - Monthly Positions'!I16</f>
        <v>427</v>
      </c>
      <c r="J79" s="2930">
        <f>'B - Monthly Positions'!J16</f>
        <v>613</v>
      </c>
      <c r="K79" s="2930">
        <f>'B - Monthly Positions'!K16</f>
        <v>1007</v>
      </c>
      <c r="L79" s="2930">
        <f>'B - Monthly Positions'!L16</f>
        <v>645</v>
      </c>
      <c r="M79" s="2930">
        <f>'B - Monthly Positions'!M16</f>
        <v>560</v>
      </c>
      <c r="N79" s="2930">
        <f>'B - Monthly Positions'!N16</f>
        <v>528</v>
      </c>
      <c r="O79" s="2931">
        <f>'B - Monthly Positions'!O16</f>
        <v>513</v>
      </c>
      <c r="P79" s="2938">
        <f t="shared" si="41"/>
        <v>7156</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19905</v>
      </c>
      <c r="I80" s="2954">
        <f>'B - Monthly Positions'!I17</f>
        <v>19813</v>
      </c>
      <c r="J80" s="2954">
        <f>'B - Monthly Positions'!J17</f>
        <v>20654</v>
      </c>
      <c r="K80" s="2954">
        <f>'B - Monthly Positions'!K17</f>
        <v>20208</v>
      </c>
      <c r="L80" s="2954">
        <f>'B - Monthly Positions'!L17</f>
        <v>15491</v>
      </c>
      <c r="M80" s="2954">
        <f>'B - Monthly Positions'!M17</f>
        <v>20919</v>
      </c>
      <c r="N80" s="2954">
        <f>'B - Monthly Positions'!N17</f>
        <v>13201</v>
      </c>
      <c r="O80" s="2955">
        <f>'B - Monthly Positions'!O17</f>
        <v>25808.661746666665</v>
      </c>
      <c r="P80" s="2956">
        <f t="shared" si="41"/>
        <v>232534.66174666665</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11570</v>
      </c>
      <c r="I83" s="2926">
        <f>'B - Monthly Positions'!I20</f>
        <v>11261</v>
      </c>
      <c r="J83" s="2926">
        <f>'B - Monthly Positions'!J20</f>
        <v>11643</v>
      </c>
      <c r="K83" s="2926">
        <f>'B - Monthly Positions'!K20</f>
        <v>11349</v>
      </c>
      <c r="L83" s="2926">
        <f>'B - Monthly Positions'!L20</f>
        <v>11571</v>
      </c>
      <c r="M83" s="2926">
        <f>'B - Monthly Positions'!M20</f>
        <v>11552</v>
      </c>
      <c r="N83" s="2926">
        <f>'B - Monthly Positions'!N20</f>
        <v>8116</v>
      </c>
      <c r="O83" s="2927">
        <f>'B - Monthly Positions'!O20</f>
        <v>12501.937416666666</v>
      </c>
      <c r="P83" s="2937">
        <f t="shared" si="41"/>
        <v>136310.93741666665</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7802.4100000000008</v>
      </c>
      <c r="I84" s="2926">
        <f>'B - Monthly Positions'!I21</f>
        <v>7866.1100000000006</v>
      </c>
      <c r="J84" s="2926">
        <f>'B - Monthly Positions'!J21</f>
        <v>8443.11</v>
      </c>
      <c r="K84" s="2926">
        <f>'B - Monthly Positions'!K21</f>
        <v>8427.7000000000007</v>
      </c>
      <c r="L84" s="2926">
        <f>'B - Monthly Positions'!L21</f>
        <v>3354.9600000000028</v>
      </c>
      <c r="M84" s="2926">
        <f>'B - Monthly Positions'!M21</f>
        <v>8764.7099999999955</v>
      </c>
      <c r="N84" s="2926">
        <f>'B - Monthly Positions'!N21</f>
        <v>4423.3800000000047</v>
      </c>
      <c r="O84" s="2927">
        <f>'B - Monthly Positions'!O21</f>
        <v>12499.304329999999</v>
      </c>
      <c r="P84" s="2937">
        <f t="shared" si="41"/>
        <v>89032.213329999999</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645.16999999999996</v>
      </c>
      <c r="I95" s="2926">
        <f>'B - Monthly Positions'!I32</f>
        <v>543.77</v>
      </c>
      <c r="J95" s="2926">
        <f>'B - Monthly Positions'!J32</f>
        <v>543.77</v>
      </c>
      <c r="K95" s="2926">
        <f>'B - Monthly Positions'!K32</f>
        <v>502.17</v>
      </c>
      <c r="L95" s="2926">
        <f>'B - Monthly Positions'!L32</f>
        <v>528.91999999999996</v>
      </c>
      <c r="M95" s="2926">
        <f>'B - Monthly Positions'!M32</f>
        <v>528.16999999999996</v>
      </c>
      <c r="N95" s="2926">
        <f>'B - Monthly Positions'!N32</f>
        <v>594.5</v>
      </c>
      <c r="O95" s="2927">
        <f>'B - Monthly Positions'!O32</f>
        <v>884</v>
      </c>
      <c r="P95" s="2937">
        <f t="shared" si="41"/>
        <v>6844.6310000000003</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34.42</v>
      </c>
      <c r="I96" s="2926">
        <f>'B - Monthly Positions'!I33</f>
        <v>28.12</v>
      </c>
      <c r="J96" s="2926">
        <f>'B - Monthly Positions'!J33</f>
        <v>28.12</v>
      </c>
      <c r="K96" s="2926">
        <f>'B - Monthly Positions'!K33</f>
        <v>28.12</v>
      </c>
      <c r="L96" s="2926">
        <f>'B - Monthly Positions'!L33</f>
        <v>28.12</v>
      </c>
      <c r="M96" s="2926">
        <f>'B - Monthly Positions'!M33</f>
        <v>28.12</v>
      </c>
      <c r="N96" s="2926">
        <f>'B - Monthly Positions'!N33</f>
        <v>28.12</v>
      </c>
      <c r="O96" s="2927">
        <f>'B - Monthly Positions'!O33</f>
        <v>28.42</v>
      </c>
      <c r="P96" s="2937">
        <f t="shared" si="41"/>
        <v>337.87000000000006</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9.01</v>
      </c>
      <c r="L98" s="2926">
        <f>'B - Monthly Positions'!L35</f>
        <v>0</v>
      </c>
      <c r="M98" s="2926">
        <f>'B - Monthly Positions'!M35</f>
        <v>0</v>
      </c>
      <c r="N98" s="2926">
        <f>'B - Monthly Positions'!N35</f>
        <v>0</v>
      </c>
      <c r="O98" s="2927">
        <f>'B - Monthly Positions'!O35</f>
        <v>0</v>
      </c>
      <c r="P98" s="2937">
        <f t="shared" si="41"/>
        <v>9.01</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20051.999999999996</v>
      </c>
      <c r="I99" s="2954">
        <f>'B - Monthly Positions'!I36</f>
        <v>19699</v>
      </c>
      <c r="J99" s="2954">
        <f>'B - Monthly Positions'!J36</f>
        <v>20658</v>
      </c>
      <c r="K99" s="2954">
        <f>'B - Monthly Positions'!K36</f>
        <v>20315.999999999996</v>
      </c>
      <c r="L99" s="2954">
        <f>'B - Monthly Positions'!L36</f>
        <v>15483.000000000004</v>
      </c>
      <c r="M99" s="2954">
        <f>'B - Monthly Positions'!M36</f>
        <v>20872.999999999993</v>
      </c>
      <c r="N99" s="2954">
        <f>'B - Monthly Positions'!N36</f>
        <v>13162.000000000005</v>
      </c>
      <c r="O99" s="2955">
        <f>'B - Monthly Positions'!O36</f>
        <v>25913.661746666665</v>
      </c>
      <c r="P99" s="2956">
        <f t="shared" si="41"/>
        <v>232534.66174666665</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-146.99999999999636</v>
      </c>
      <c r="I100" s="2960">
        <f>'B - Monthly Positions'!I37</f>
        <v>114</v>
      </c>
      <c r="J100" s="2960">
        <f>'B - Monthly Positions'!J37</f>
        <v>-4</v>
      </c>
      <c r="K100" s="2960">
        <f>'B - Monthly Positions'!K37</f>
        <v>-107.99999999999636</v>
      </c>
      <c r="L100" s="2960">
        <f>'B - Monthly Positions'!L37</f>
        <v>7.999999999996362</v>
      </c>
      <c r="M100" s="2960">
        <f>'B - Monthly Positions'!M37</f>
        <v>46.000000000007276</v>
      </c>
      <c r="N100" s="2960">
        <f>'B - Monthly Positions'!N37</f>
        <v>38.999999999994543</v>
      </c>
      <c r="O100" s="2961">
        <f>'B - Monthly Positions'!O37</f>
        <v>-105</v>
      </c>
      <c r="P100" s="2962">
        <f t="shared" si="41"/>
        <v>5.4569682106375694E-12</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Status xmlns="74117dde-b119-4746-8562-4584e64c254c" xsi:nil="true"/>
    <Notes xmlns="74117dde-b119-4746-8562-4584e64c254c" xsi:nil="true"/>
    <Open_x002f_Private xmlns="74117dde-b119-4746-8562-4584e64c254c">Open</Open_x002f_Private>
    <MeetingSubCategory xmlns="74117dde-b119-4746-8562-4584e64c254c">Board</MeetingSubCategory>
    <RetentionDate xmlns="74117dde-b119-4746-8562-4584e64c254c">Always</RetentionDate>
    <DocumentType xmlns="74117dde-b119-4746-8562-4584e64c254c" xsi:nil="true"/>
    <MeetingDate xmlns="74117dde-b119-4746-8562-4584e64c254c">2024-03-28T00:00:00+00:00</MeetingDate>
    <EinancialYear xmlns="74117dde-b119-4746-8562-4584e64c254c" xsi:nil="true"/>
    <Reason xmlns="74117dde-b119-4746-8562-4584e64c254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01687F77D63A8459CEFD3583C1899E6" ma:contentTypeVersion="22" ma:contentTypeDescription="Create a new document." ma:contentTypeScope="" ma:versionID="5420dd2ca86aab506baff9d3f578200d">
  <xsd:schema xmlns:xsd="http://www.w3.org/2001/XMLSchema" xmlns:xs="http://www.w3.org/2001/XMLSchema" xmlns:p="http://schemas.microsoft.com/office/2006/metadata/properties" xmlns:ns2="74117dde-b119-4746-8562-4584e64c254c" xmlns:ns3="885d599f-0d70-42f9-bb26-1bdcfa13e79d" targetNamespace="http://schemas.microsoft.com/office/2006/metadata/properties" ma:root="true" ma:fieldsID="8a1c54960c4e9e94ea9fdb899ee0cfee" ns2:_="" ns3:_="">
    <xsd:import namespace="74117dde-b119-4746-8562-4584e64c254c"/>
    <xsd:import namespace="885d599f-0d70-42f9-bb26-1bdcfa13e79d"/>
    <xsd:element name="properties">
      <xsd:complexType>
        <xsd:sequence>
          <xsd:element name="documentManagement">
            <xsd:complexType>
              <xsd:all>
                <xsd:element ref="ns2:MeetingSubCategory"/>
                <xsd:element ref="ns2:MeetingDate"/>
                <xsd:element ref="ns2:Open_x002f_Private"/>
                <xsd:element ref="ns2:Reason" minOccurs="0"/>
                <xsd:element ref="ns2:DocumentType" minOccurs="0"/>
                <xsd:element ref="ns2:Status" minOccurs="0"/>
                <xsd:element ref="ns2:RetentionDate" minOccurs="0"/>
                <xsd:element ref="ns2:MediaServiceMetadata" minOccurs="0"/>
                <xsd:element ref="ns2:MediaServiceFastMetadata" minOccurs="0"/>
                <xsd:element ref="ns2:MediaServiceObjectDetectorVersions" minOccurs="0"/>
                <xsd:element ref="ns2:EinancialYear" minOccurs="0"/>
                <xsd:element ref="ns2:Not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17dde-b119-4746-8562-4584e64c254c" elementFormDefault="qualified">
    <xsd:import namespace="http://schemas.microsoft.com/office/2006/documentManagement/types"/>
    <xsd:import namespace="http://schemas.microsoft.com/office/infopath/2007/PartnerControls"/>
    <xsd:element name="MeetingSubCategory" ma:index="8" ma:displayName="Meeting" ma:format="Dropdown" ma:internalName="MeetingSubCategory">
      <xsd:simpleType>
        <xsd:restriction base="dms:Choice">
          <xsd:enumeration value="ACGC (Open)"/>
          <xsd:enumeration value="ACGC (Private)"/>
          <xsd:enumeration value="BET"/>
          <xsd:enumeration value="SBET"/>
          <xsd:enumeration value="Board"/>
          <xsd:enumeration value="Board (Private)"/>
          <xsd:enumeration value="Board Development"/>
          <xsd:enumeration value="BPL (Business and Planning Leads)"/>
          <xsd:enumeration value="KRIC"/>
          <xsd:enumeration value="KRIC (Private)"/>
          <xsd:enumeration value="LT"/>
          <xsd:enumeration value="POD"/>
          <xsd:enumeration value="POD (Private)"/>
          <xsd:enumeration value="QSIC"/>
          <xsd:enumeration value="QSIC (Private)"/>
          <xsd:enumeration value="AGM"/>
          <xsd:enumeration value="Board Briefing"/>
          <xsd:enumeration value="Covid-19 PI Sub-Group"/>
          <xsd:enumeration value="Cross Committee Group"/>
          <xsd:enumeration value="Chair's Meeting"/>
          <xsd:enumeration value="Rem Comm"/>
          <xsd:enumeration value="Board Business Unit Meeting"/>
          <xsd:enumeration value="Covid-19 Steering Group"/>
        </xsd:restriction>
      </xsd:simpleType>
    </xsd:element>
    <xsd:element name="MeetingDate" ma:index="9" ma:displayName="Meeting Date" ma:format="DateOnly" ma:internalName="MeetingDate">
      <xsd:simpleType>
        <xsd:restriction base="dms:DateTime"/>
      </xsd:simpleType>
    </xsd:element>
    <xsd:element name="Open_x002f_Private" ma:index="10" ma:displayName="Open/Private" ma:default="Open" ma:format="Dropdown" ma:internalName="Open_x002f_Private">
      <xsd:simpleType>
        <xsd:restriction base="dms:Choice">
          <xsd:enumeration value="Open"/>
          <xsd:enumeration value="Private"/>
        </xsd:restriction>
      </xsd:simpleType>
    </xsd:element>
    <xsd:element name="Reason" ma:index="11" nillable="true" ma:displayName="Reason" ma:format="Dropdown" ma:internalName="Reason">
      <xsd:complexType>
        <xsd:complexContent>
          <xsd:extension base="dms:MultiChoice">
            <xsd:sequence>
              <xsd:element name="Value" maxOccurs="unbounded" minOccurs="0" nillable="true">
                <xsd:simpleType>
                  <xsd:restriction base="dms:Choice">
                    <xsd:enumeration value="Commercially Sensitive – Procurement"/>
                    <xsd:enumeration value="Confidential – Information Governance"/>
                    <xsd:enumeration value="Confidential – Cyber Security"/>
                    <xsd:enumeration value="Confidential – Workforce"/>
                    <xsd:enumeration value="Confidential - Counter Fraud"/>
                    <xsd:enumeration value="Legally Privileged"/>
                    <xsd:enumeration value="Summary of Private Committee / Sub Group Meetings ‐ subject matter confidential"/>
                    <xsd:enumeration value="Undue concern or harm to the public"/>
                  </xsd:restriction>
                </xsd:simpleType>
              </xsd:element>
            </xsd:sequence>
          </xsd:extension>
        </xsd:complexContent>
      </xsd:complexType>
    </xsd:element>
    <xsd:element name="DocumentType" ma:index="12" nillable="true" ma:displayName="Document Type" ma:format="Dropdown" ma:internalName="DocumentType">
      <xsd:simpleType>
        <xsd:restriction base="dms:Choice">
          <xsd:enumeration value="Action Log"/>
          <xsd:enumeration value="Agenda"/>
          <xsd:enumeration value="Attachment"/>
          <xsd:enumeration value="Chair's Brief"/>
          <xsd:enumeration value="Correspondance"/>
          <xsd:enumeration value="Minutes"/>
          <xsd:enumeration value="Plan or Register"/>
          <xsd:enumeration value="Presentation"/>
          <xsd:enumeration value="Report"/>
        </xsd:restriction>
      </xsd:simpleType>
    </xsd:element>
    <xsd:element name="Status" ma:index="13" nillable="true" ma:displayName="Status" ma:format="Dropdown" ma:internalName="Status">
      <xsd:simpleType>
        <xsd:restriction base="dms:Choice">
          <xsd:enumeration value="Draft"/>
          <xsd:enumeration value="Final"/>
          <xsd:enumeration value="Working Draft"/>
          <xsd:enumeration value="Confirmed Minutes"/>
          <xsd:enumeration value="Unconfirmed Minutes"/>
          <xsd:enumeration value="Live Document"/>
        </xsd:restriction>
      </xsd:simpleType>
    </xsd:element>
    <xsd:element name="RetentionDate" ma:index="14" nillable="true" ma:displayName="Retention Date" ma:default="Always" ma:format="Dropdown" ma:internalName="RetentionDate">
      <xsd:simpleType>
        <xsd:restriction base="dms:Choice">
          <xsd:enumeration value="Always"/>
          <xsd:enumeration value="2030"/>
          <xsd:enumeration value="2031"/>
          <xsd:enumeration value="2032"/>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EinancialYear" ma:index="18" nillable="true" ma:displayName="Year" ma:default="2024/2025" ma:format="RadioButtons" ma:internalName="EinancialYear">
      <xsd:simpleType>
        <xsd:restriction base="dms:Choice">
          <xsd:enumeration value="2024/2025"/>
          <xsd:enumeration value="2023/2024"/>
          <xsd:enumeration value="2022/2023"/>
        </xsd:restriction>
      </xsd:simpleType>
    </xsd:element>
    <xsd:element name="Notes" ma:index="19" nillable="true" ma:displayName="Notes" ma:format="Dropdown" ma:internalName="Notes">
      <xsd:simpleType>
        <xsd:restriction base="dms:Text">
          <xsd:maxLength value="255"/>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d599f-0d70-42f9-bb26-1bdcfa13e79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F69A4F43-A788-46F5-A2BD-1FE0696CC495}">
  <ds:schemaRefs>
    <ds:schemaRef ds:uri="http://purl.org/dc/elements/1.1/"/>
    <ds:schemaRef ds:uri="http://www.w3.org/XML/1998/namespace"/>
    <ds:schemaRef ds:uri="http://schemas.microsoft.com/office/infopath/2007/PartnerControls"/>
    <ds:schemaRef ds:uri="27233c93-c413-4fbb-a11c-d69fcc6dbe32"/>
    <ds:schemaRef ds:uri="http://purl.org/dc/terms/"/>
    <ds:schemaRef ds:uri="http://schemas.microsoft.com/office/2006/metadata/properties"/>
    <ds:schemaRef ds:uri="http://schemas.microsoft.com/office/2006/documentManagement/types"/>
    <ds:schemaRef ds:uri="fad5256b-9034-4098-a484-2992d39a629e"/>
    <ds:schemaRef ds:uri="http://schemas.openxmlformats.org/package/2006/metadata/core-properties"/>
    <ds:schemaRef ds:uri="http://purl.org/dc/dcmitype/"/>
    <ds:schemaRef ds:uri="74117dde-b119-4746-8562-4584e64c254c"/>
  </ds:schemaRefs>
</ds:datastoreItem>
</file>

<file path=customXml/itemProps3.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4.xml><?xml version="1.0" encoding="utf-8"?>
<ds:datastoreItem xmlns:ds="http://schemas.openxmlformats.org/officeDocument/2006/customXml" ds:itemID="{389DF648-F7DA-4031-BD54-3721539ADE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17dde-b119-4746-8562-4584e64c254c"/>
    <ds:schemaRef ds:uri="885d599f-0d70-42f9-bb26-1bdcfa13e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2023-04-25T11:34:50Z</cp:lastPrinted>
  <dcterms:created xsi:type="dcterms:W3CDTF">2009-08-27T15:29:26Z</dcterms:created>
  <dcterms:modified xsi:type="dcterms:W3CDTF">2024-06-03T13:58:28Z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0x010100E01687F77D63A8459CEFD3583C1899E6</vt:lpwstr>
  </property>
</Properties>
</file>