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Z:\MMR and Monthly Reporting\2023-24\Board Report\"/>
    </mc:Choice>
  </mc:AlternateContent>
  <xr:revisionPtr revIDLastSave="0" documentId="8_{86BFDB36-41D2-4397-84E2-72D9C930C43F}" xr6:coauthVersionLast="47" xr6:coauthVersionMax="47" xr10:uidLastSave="{00000000-0000-0000-0000-000000000000}"/>
  <bookViews>
    <workbookView xWindow="-108" yWindow="-108" windowWidth="23256" windowHeight="12576" tabRatio="783" firstSheet="2" activeTab="3"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0" l="1"/>
  <c r="I28" i="10"/>
  <c r="J28" i="10" s="1"/>
  <c r="N31" i="10"/>
  <c r="F12" i="90"/>
  <c r="J18" i="10" l="1"/>
  <c r="N16" i="53"/>
  <c r="N14" i="53"/>
  <c r="N12" i="53"/>
  <c r="N10" i="53"/>
  <c r="M10" i="53"/>
  <c r="M16" i="53"/>
  <c r="M14" i="53"/>
  <c r="M12" i="53"/>
  <c r="L10" i="53"/>
  <c r="L16" i="53"/>
  <c r="L14" i="53"/>
  <c r="L12" i="53"/>
  <c r="K10" i="53"/>
  <c r="K16" i="53"/>
  <c r="K14" i="53"/>
  <c r="K12" i="53"/>
  <c r="J16" i="53"/>
  <c r="J14" i="53"/>
  <c r="J12" i="53"/>
  <c r="J10" i="53"/>
  <c r="I17" i="53" l="1"/>
  <c r="I16" i="53"/>
  <c r="I15" i="53"/>
  <c r="I14" i="53"/>
  <c r="I12" i="53"/>
  <c r="I11" i="53"/>
  <c r="I10" i="53"/>
  <c r="J52" i="53"/>
  <c r="D53" i="78" l="1"/>
  <c r="O13" i="78" l="1"/>
  <c r="N13" i="78"/>
  <c r="M13" i="78"/>
  <c r="L13" i="78"/>
  <c r="K13" i="78"/>
  <c r="P26" i="91" l="1"/>
  <c r="H29" i="10" l="1"/>
  <c r="D12" i="90" l="1"/>
  <c r="P25" i="91" l="1"/>
  <c r="K18" i="10"/>
  <c r="L18" i="10" s="1"/>
  <c r="M18" i="10" s="1"/>
  <c r="N18" i="10" s="1"/>
  <c r="D77" i="3" l="1"/>
  <c r="D73" i="3" l="1"/>
  <c r="F20" i="10" l="1"/>
  <c r="J29" i="10" l="1"/>
  <c r="K29" i="10" s="1"/>
  <c r="L29" i="10" s="1"/>
  <c r="M29" i="10" s="1"/>
  <c r="K28" i="10"/>
  <c r="L28" i="10" s="1"/>
  <c r="M28" i="10" s="1"/>
  <c r="N28" i="10" s="1"/>
  <c r="K20" i="10"/>
  <c r="L20" i="10" s="1"/>
  <c r="M20" i="10" s="1"/>
  <c r="K15" i="10"/>
  <c r="L15" i="10" s="1"/>
  <c r="M15" i="10" s="1"/>
  <c r="N15" i="10" s="1"/>
  <c r="K13" i="10"/>
  <c r="L13" i="10" s="1"/>
  <c r="M13" i="10" s="1"/>
  <c r="N13" i="10" s="1"/>
  <c r="C12" i="90" l="1"/>
  <c r="P13" i="91" s="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I33" i="53" l="1"/>
  <c r="J33" i="53" s="1"/>
  <c r="H39" i="53"/>
  <c r="I39" i="53" s="1"/>
  <c r="J39" i="53" s="1"/>
  <c r="G37" i="53"/>
  <c r="H37" i="53" s="1"/>
  <c r="H20" i="78"/>
  <c r="G40" i="53"/>
  <c r="G34" i="53"/>
  <c r="H34" i="53" s="1"/>
  <c r="G33" i="53"/>
  <c r="H33" i="53" s="1"/>
  <c r="F14" i="78"/>
  <c r="G14" i="78" s="1"/>
  <c r="F35" i="53"/>
  <c r="G35" i="53" s="1"/>
  <c r="F13" i="78"/>
  <c r="G13" i="78" s="1"/>
  <c r="H13" i="78" s="1"/>
  <c r="F15" i="78"/>
  <c r="G15" i="78" s="1"/>
  <c r="F16" i="78"/>
  <c r="G16" i="78" s="1"/>
  <c r="D53" i="53"/>
  <c r="K52" i="53"/>
  <c r="L52" i="53" s="1"/>
  <c r="M52" i="53" s="1"/>
  <c r="N52" i="53" s="1"/>
  <c r="I37" i="53" l="1"/>
  <c r="J37" i="53" s="1"/>
  <c r="I20" i="78"/>
  <c r="J20" i="78"/>
  <c r="I35" i="53"/>
  <c r="J35" i="53" s="1"/>
  <c r="J14" i="78"/>
  <c r="J16" i="78"/>
  <c r="I34" i="53"/>
  <c r="J34" i="53" s="1"/>
  <c r="H40" i="53"/>
  <c r="I13" i="78"/>
  <c r="J13" i="78" s="1"/>
  <c r="I14" i="78"/>
  <c r="H35" i="53"/>
  <c r="H15" i="78"/>
  <c r="I15" i="78" s="1"/>
  <c r="H16" i="78"/>
  <c r="I16" i="78" s="1"/>
  <c r="H14" i="78"/>
  <c r="F53" i="53"/>
  <c r="J53" i="53" s="1"/>
  <c r="K34" i="53"/>
  <c r="L34" i="53" s="1"/>
  <c r="M34" i="53" s="1"/>
  <c r="N34" i="53" s="1"/>
  <c r="D36" i="53"/>
  <c r="K37" i="53"/>
  <c r="L37" i="53" s="1"/>
  <c r="M37" i="53" s="1"/>
  <c r="N37" i="53" s="1"/>
  <c r="D38" i="53"/>
  <c r="K39" i="53"/>
  <c r="L39" i="53" s="1"/>
  <c r="M39" i="53" s="1"/>
  <c r="N39" i="53" s="1"/>
  <c r="D41" i="53"/>
  <c r="K33" i="53"/>
  <c r="L33" i="53" s="1"/>
  <c r="M33" i="53" s="1"/>
  <c r="N33" i="53" s="1"/>
  <c r="J36" i="53" l="1"/>
  <c r="J15" i="78"/>
  <c r="I40" i="53"/>
  <c r="J40" i="53" s="1"/>
  <c r="K40" i="53" s="1"/>
  <c r="L40" i="53" s="1"/>
  <c r="M40" i="53" s="1"/>
  <c r="N40" i="53" s="1"/>
  <c r="K35" i="53"/>
  <c r="L35" i="53" s="1"/>
  <c r="M35" i="53" s="1"/>
  <c r="N35" i="53" s="1"/>
  <c r="K53" i="53"/>
  <c r="L53" i="53" s="1"/>
  <c r="M53" i="53" s="1"/>
  <c r="N53" i="53" s="1"/>
  <c r="E36" i="53"/>
  <c r="F36" i="53" s="1"/>
  <c r="E38" i="53"/>
  <c r="F38" i="53" s="1"/>
  <c r="E41" i="53"/>
  <c r="F41" i="53" s="1"/>
  <c r="U12" i="69"/>
  <c r="T12" i="69"/>
  <c r="S12" i="69"/>
  <c r="R12" i="69"/>
  <c r="Q12" i="69"/>
  <c r="P12" i="69"/>
  <c r="O12" i="69"/>
  <c r="N12" i="69"/>
  <c r="M12" i="69"/>
  <c r="L12" i="69"/>
  <c r="K12" i="69"/>
  <c r="J12" i="69"/>
  <c r="F14" i="69"/>
  <c r="I38" i="53" l="1"/>
  <c r="J38" i="53"/>
  <c r="J41" i="53"/>
  <c r="K41" i="53"/>
  <c r="L41" i="53" s="1"/>
  <c r="M41" i="53" s="1"/>
  <c r="N41" i="53" s="1"/>
  <c r="K36" i="53"/>
  <c r="L36" i="53" s="1"/>
  <c r="M36" i="53" s="1"/>
  <c r="N36" i="53" s="1"/>
  <c r="G38" i="53"/>
  <c r="H38" i="53" s="1"/>
  <c r="C10" i="53"/>
  <c r="C17" i="53"/>
  <c r="C16" i="53"/>
  <c r="C15" i="53"/>
  <c r="C14" i="53"/>
  <c r="C12" i="53"/>
  <c r="C11" i="53"/>
  <c r="K38" i="53" l="1"/>
  <c r="L38" i="53" s="1"/>
  <c r="M38" i="53" s="1"/>
  <c r="N38" i="53" s="1"/>
  <c r="D17" i="53"/>
  <c r="E17" i="53" s="1"/>
  <c r="D12" i="53"/>
  <c r="E12" i="53" s="1"/>
  <c r="D14" i="53"/>
  <c r="E14" i="53" s="1"/>
  <c r="D15" i="53"/>
  <c r="E15" i="53" s="1"/>
  <c r="D16" i="53"/>
  <c r="D10" i="53"/>
  <c r="D11" i="53"/>
  <c r="E11" i="53" s="1"/>
  <c r="D72" i="78"/>
  <c r="F12" i="53" l="1"/>
  <c r="G12" i="53" s="1"/>
  <c r="F14" i="53"/>
  <c r="E16" i="53"/>
  <c r="F16" i="53" s="1"/>
  <c r="F17" i="53"/>
  <c r="G17" i="53" s="1"/>
  <c r="F15" i="53"/>
  <c r="E10" i="53"/>
  <c r="F11" i="53"/>
  <c r="G11" i="53" s="1"/>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4" i="53" l="1"/>
  <c r="H14" i="53" s="1"/>
  <c r="H11" i="53"/>
  <c r="H17" i="53"/>
  <c r="H12" i="53"/>
  <c r="F10" i="53"/>
  <c r="G10" i="53" s="1"/>
  <c r="G15" i="53"/>
  <c r="H15" i="53" s="1"/>
  <c r="G16" i="53"/>
  <c r="H16" i="53" s="1"/>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H10" i="53" l="1"/>
  <c r="T3" i="97"/>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B12" i="97"/>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L28" i="97" l="1"/>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K88" i="92"/>
  <c r="DP87" i="84"/>
  <c r="DK151" i="84"/>
  <c r="M15" i="69"/>
  <c r="K154" i="92"/>
  <c r="L15" i="78" s="1"/>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A21" i="92"/>
  <c r="DF21" i="84" s="1"/>
  <c r="B98" i="97"/>
  <c r="D1702" i="94"/>
  <c r="D402" i="94" l="1"/>
  <c r="D403" i="94"/>
  <c r="D514" i="94" s="1"/>
  <c r="A22" i="92"/>
  <c r="DF22" i="84" s="1"/>
  <c r="B99" i="97"/>
  <c r="D1703" i="94"/>
  <c r="A23" i="92" l="1"/>
  <c r="DF23" i="84" s="1"/>
  <c r="D404" i="94"/>
  <c r="D515" i="94" s="1"/>
  <c r="B100" i="97"/>
  <c r="D1705" i="94" s="1"/>
  <c r="D1704" i="94"/>
  <c r="D405" i="94" l="1"/>
  <c r="D516" i="94" s="1"/>
  <c r="A24" i="92"/>
  <c r="DF24" i="84" s="1"/>
  <c r="A25" i="92" l="1"/>
  <c r="DF25" i="84" s="1"/>
  <c r="D406" i="94"/>
  <c r="D517" i="94" s="1"/>
  <c r="A26" i="92"/>
  <c r="DF26" i="84" s="1"/>
  <c r="D407" i="94" l="1"/>
  <c r="D518" i="94" s="1"/>
  <c r="A27" i="92"/>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MB49" i="84" l="1"/>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W1412" i="89" s="1"/>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W824" i="89" s="1"/>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721" i="89" l="1"/>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M21" i="78" s="1"/>
  <c r="L77" i="78"/>
  <c r="L32" i="78" s="1"/>
  <c r="K77" i="78"/>
  <c r="K32" i="78" s="1"/>
  <c r="K21"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L21" i="78" l="1"/>
  <c r="N21" i="78"/>
  <c r="O21" i="78"/>
  <c r="MC63" i="84"/>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LT3" i="84" s="1"/>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P10" i="60" l="1"/>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JZ78" i="84"/>
  <c r="KB78" i="84"/>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K84" i="97"/>
  <c r="N281" i="94"/>
  <c r="BO21" i="84"/>
  <c r="K36" i="78"/>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K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84" i="97" l="1"/>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H1687" i="94"/>
  <c r="E20" i="97"/>
  <c r="H1629" i="94" s="1"/>
  <c r="P1687" i="94"/>
  <c r="M20" i="97"/>
  <c r="P1629" i="94" s="1"/>
  <c r="K37" i="78"/>
  <c r="N296" i="94"/>
  <c r="K57" i="78"/>
  <c r="K99" i="97"/>
  <c r="BO36" i="84"/>
  <c r="N99" i="97"/>
  <c r="BR36" i="84"/>
  <c r="N37" i="78"/>
  <c r="N57" i="78"/>
  <c r="Q296" i="94"/>
  <c r="W32" i="97"/>
  <c r="S1728" i="94"/>
  <c r="U1728" i="94" s="1"/>
  <c r="E1729" i="94"/>
  <c r="O37" i="78"/>
  <c r="O99" i="97"/>
  <c r="R296" i="94"/>
  <c r="O57" i="78"/>
  <c r="BS36" i="84"/>
  <c r="Z4" i="5"/>
  <c r="AA4" i="5" s="1"/>
  <c r="D351" i="94"/>
  <c r="BE133" i="84"/>
  <c r="BP36" i="84"/>
  <c r="L57" i="78"/>
  <c r="L37" i="78"/>
  <c r="L99" i="97"/>
  <c r="O296" i="94"/>
  <c r="F99" i="97"/>
  <c r="F57" i="78"/>
  <c r="I296" i="94"/>
  <c r="F37" i="78"/>
  <c r="H1641" i="94"/>
  <c r="T32" i="97"/>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P19" i="91"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J21" i="78" l="1"/>
  <c r="BK21" i="84"/>
  <c r="P10" i="91"/>
  <c r="HI10" i="84" s="1"/>
  <c r="T19" i="91"/>
  <c r="HI19" i="84"/>
  <c r="H21" i="78"/>
  <c r="I21" i="78" s="1"/>
  <c r="J281" i="94"/>
  <c r="G84" i="97"/>
  <c r="G36" i="78"/>
  <c r="F62" i="86"/>
  <c r="I1687" i="94"/>
  <c r="F20" i="97"/>
  <c r="I1629" i="94" s="1"/>
  <c r="Z4" i="4"/>
  <c r="AA4" i="4" s="1"/>
  <c r="AA5" i="4" s="1"/>
  <c r="D15" i="90"/>
  <c r="LH13" i="84"/>
  <c r="E13" i="90"/>
  <c r="LI13" i="84" s="1"/>
  <c r="D14" i="90"/>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O1702" i="94"/>
  <c r="L35" i="97"/>
  <c r="O1644" i="94" s="1"/>
  <c r="K100" i="97"/>
  <c r="BO37" i="84"/>
  <c r="N297" i="94"/>
  <c r="S1641" i="94"/>
  <c r="U1641" i="94" s="1"/>
  <c r="U32" i="97"/>
  <c r="P1702" i="94"/>
  <c r="M35" i="97"/>
  <c r="P1644" i="94" s="1"/>
  <c r="F35" i="97"/>
  <c r="I1644" i="94" s="1"/>
  <c r="I1702" i="94"/>
  <c r="L100" i="97"/>
  <c r="O297" i="94"/>
  <c r="BP37" i="8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N1702" i="94"/>
  <c r="K35" i="97"/>
  <c r="N1644" i="94" s="1"/>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BN21" i="84" l="1"/>
  <c r="J36" i="78"/>
  <c r="I62" i="86"/>
  <c r="M281" i="94"/>
  <c r="J84" i="97"/>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X9" i="78"/>
  <c r="Y9" i="78" s="1"/>
  <c r="S24" i="78"/>
  <c r="P21"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O1703" i="94"/>
  <c r="L36" i="97"/>
  <c r="O1645" i="94" s="1"/>
  <c r="N1703" i="94"/>
  <c r="K36" i="97"/>
  <c r="N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J20" i="97" l="1"/>
  <c r="M1629" i="94" s="1"/>
  <c r="M1687" i="94"/>
  <c r="M296" i="94"/>
  <c r="BN36" i="84"/>
  <c r="J99" i="97"/>
  <c r="J37" i="78"/>
  <c r="J57" i="78"/>
  <c r="P36" i="78"/>
  <c r="BT36" i="84" s="1"/>
  <c r="HY38" i="84"/>
  <c r="I20" i="97"/>
  <c r="L1629" i="94" s="1"/>
  <c r="L1687" i="94"/>
  <c r="I37" i="78"/>
  <c r="AH7" i="78" s="1"/>
  <c r="BM36" i="84"/>
  <c r="I57" i="78"/>
  <c r="I99" i="97"/>
  <c r="S35" i="97" s="1"/>
  <c r="L296" i="94"/>
  <c r="AA5" i="91"/>
  <c r="C15" i="83" s="1"/>
  <c r="D15" i="83" s="1"/>
  <c r="T48" i="91"/>
  <c r="S1353" i="94" s="1"/>
  <c r="U1353" i="94" s="1"/>
  <c r="HL10" i="84"/>
  <c r="H99" i="97"/>
  <c r="BL36" i="84"/>
  <c r="H57" i="78"/>
  <c r="K296" i="94"/>
  <c r="H37" i="78"/>
  <c r="BT21" i="84"/>
  <c r="Q21" i="78"/>
  <c r="H20" i="97"/>
  <c r="K1629" i="94" s="1"/>
  <c r="K1687" i="94"/>
  <c r="S20" i="97"/>
  <c r="P84" i="97"/>
  <c r="J1629" i="94"/>
  <c r="J1702" i="94"/>
  <c r="G35" i="97"/>
  <c r="AH5" i="78"/>
  <c r="G100" i="97"/>
  <c r="J297" i="94"/>
  <c r="AH12" i="78"/>
  <c r="BK37" i="84"/>
  <c r="AH6" i="78"/>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B15" i="83" l="1"/>
  <c r="C5" i="91"/>
  <c r="GV5" i="84" s="1"/>
  <c r="J100" i="97"/>
  <c r="M297" i="94"/>
  <c r="BN37" i="84"/>
  <c r="J35" i="97"/>
  <c r="M1644" i="94" s="1"/>
  <c r="M1702" i="94"/>
  <c r="P99" i="97"/>
  <c r="AH10" i="78"/>
  <c r="AH8" i="78"/>
  <c r="P37" i="78"/>
  <c r="BT37" i="84" s="1"/>
  <c r="Q36" i="78"/>
  <c r="AH9" i="78"/>
  <c r="AH11" i="78"/>
  <c r="I35" i="97"/>
  <c r="L1644" i="94" s="1"/>
  <c r="L1702" i="94"/>
  <c r="Z1" i="91"/>
  <c r="T20" i="97"/>
  <c r="X20" i="97" s="1"/>
  <c r="I100" i="97"/>
  <c r="S36" i="97" s="1"/>
  <c r="L297" i="94"/>
  <c r="BM37" i="84"/>
  <c r="HL48" i="84"/>
  <c r="E61" i="78"/>
  <c r="BI62" i="84" s="1"/>
  <c r="S281" i="94"/>
  <c r="U281" i="94" s="1"/>
  <c r="BU21" i="84"/>
  <c r="H100" i="97"/>
  <c r="P100" i="97" s="1"/>
  <c r="BL37" i="84"/>
  <c r="K297" i="94"/>
  <c r="S1687" i="94"/>
  <c r="U1687" i="94" s="1"/>
  <c r="P20" i="97"/>
  <c r="W20" i="97"/>
  <c r="S1716" i="94"/>
  <c r="U1716" i="94" s="1"/>
  <c r="E1717" i="94"/>
  <c r="H35" i="97"/>
  <c r="K1644" i="94" s="1"/>
  <c r="K1702" i="94"/>
  <c r="G36" i="97"/>
  <c r="J1703" i="94"/>
  <c r="W35" i="97"/>
  <c r="E1732" i="94"/>
  <c r="S1731" i="94"/>
  <c r="U1731" i="94" s="1"/>
  <c r="Q37" i="78"/>
  <c r="S296" i="94"/>
  <c r="U296" i="94" s="1"/>
  <c r="D51" i="78"/>
  <c r="BU36" i="84"/>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M1703" i="94" l="1"/>
  <c r="J36" i="97"/>
  <c r="M1645" i="94" s="1"/>
  <c r="K61" i="78"/>
  <c r="BO62" i="84" s="1"/>
  <c r="E64" i="78"/>
  <c r="BI65" i="84" s="1"/>
  <c r="E60" i="78"/>
  <c r="BI61" i="84" s="1"/>
  <c r="C11" i="1"/>
  <c r="F11" i="90" s="1"/>
  <c r="S1743" i="94"/>
  <c r="U1743" i="94" s="1"/>
  <c r="L1703" i="94"/>
  <c r="I36" i="97"/>
  <c r="L1645" i="94" s="1"/>
  <c r="U20" i="97"/>
  <c r="S1629" i="94"/>
  <c r="U1629" i="94" s="1"/>
  <c r="K1703" i="94"/>
  <c r="H36" i="97"/>
  <c r="K1645" i="94" s="1"/>
  <c r="BH51" i="84"/>
  <c r="S306" i="94"/>
  <c r="U306" i="94" s="1"/>
  <c r="D55" i="78"/>
  <c r="S1644" i="94"/>
  <c r="U1644" i="94" s="1"/>
  <c r="U35" i="97"/>
  <c r="BU37" i="84"/>
  <c r="S297" i="94"/>
  <c r="U297" i="94" s="1"/>
  <c r="X35" i="97"/>
  <c r="S1758" i="94"/>
  <c r="U1758" i="94" s="1"/>
  <c r="S1703" i="94"/>
  <c r="U1703" i="94" s="1"/>
  <c r="P36" i="97"/>
  <c r="W36" i="97"/>
  <c r="S1732" i="94"/>
  <c r="U1732" i="94" s="1"/>
  <c r="E1733" i="94"/>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E62" i="78" l="1"/>
  <c r="F64" i="78" s="1"/>
  <c r="BJ65" i="84" s="1"/>
  <c r="C11" i="84"/>
  <c r="E65" i="78"/>
  <c r="BI66" i="84" s="1"/>
  <c r="T36" i="97"/>
  <c r="S1759" i="94" s="1"/>
  <c r="U1759" i="94" s="1"/>
  <c r="S1770" i="94"/>
  <c r="U1770" i="94" s="1"/>
  <c r="Y20" i="97"/>
  <c r="U36" i="97"/>
  <c r="S1645" i="94"/>
  <c r="U1645" i="94" s="1"/>
  <c r="Y35" i="97"/>
  <c r="S1785" i="94"/>
  <c r="U1785" i="9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K60" i="78" l="1"/>
  <c r="BO61" i="84" s="1"/>
  <c r="BI63" i="84"/>
  <c r="X36" i="97"/>
  <c r="D5" i="78"/>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I10" i="3" s="1"/>
  <c r="J10" i="3"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<sst xmlns="http://schemas.openxmlformats.org/spreadsheetml/2006/main" count="3793" uniqueCount="1485">
  <si>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</si>
  <si>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</si>
  <si>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</si>
  <si>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</si>
  <si>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</si>
  <si>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</si>
  <si>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</si>
  <si>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</si>
  <si>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</si>
  <si>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</si>
  <si>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</si>
  <si>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</si>
  <si>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</si>
  <si>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</si>
  <si>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</si>
  <si>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</si>
  <si>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</si>
  <si>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</si>
  <si>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</si>
  <si>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</si>
  <si>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</si>
  <si>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</si>
  <si>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</si>
  <si>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</si>
  <si>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</si>
  <si>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</si>
  <si>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</si>
  <si>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</si>
  <si>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</si>
  <si>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</si>
  <si>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</si>
  <si>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</si>
  <si>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</si>
  <si>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</si>
  <si>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</si>
  <si>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</si>
  <si>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</si>
  <si>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</si>
  <si>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</si>
  <si>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</si>
  <si>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</si>
  <si>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</si>
  <si>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</si>
  <si>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</si>
  <si>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</si>
  <si>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</si>
  <si>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</si>
  <si>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</si>
  <si>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</si>
  <si>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</si>
  <si>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</si>
  <si>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</si>
  <si>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</si>
  <si>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</si>
  <si>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</si>
  <si>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</si>
  <si>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</si>
  <si>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</si>
  <si>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</si>
  <si>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</si>
  <si>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</si>
  <si>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</si>
  <si>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</si>
  <si>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</si>
  <si>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</si>
  <si>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</si>
  <si>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</si>
  <si>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</si>
  <si>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</si>
  <si>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</si>
  <si>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</si>
  <si>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</si>
  <si>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</si>
  <si>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</si>
  <si>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</si>
  <si>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</si>
  <si>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</si>
  <si>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</si>
  <si>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</si>
  <si>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</si>
  <si>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</si>
  <si>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</si>
  <si>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</si>
  <si>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</si>
  <si>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</si>
  <si>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</si>
  <si>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</si>
  <si>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</si>
  <si>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</si>
  <si>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</si>
  <si>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</si>
  <si>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</si>
  <si>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</si>
  <si>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</si>
  <si>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</si>
  <si>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</si>
  <si>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</si>
  <si>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</si>
  <si>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</si>
  <si>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</si>
  <si>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</si>
  <si>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</si>
  <si>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</si>
  <si>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</si>
  <si>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</si>
  <si>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</si>
  <si>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</si>
  <si>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</si>
  <si>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</si>
  <si>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</si>
  <si>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</si>
  <si>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</si>
  <si>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</si>
  <si>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</si>
  <si>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</si>
  <si>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</si>
  <si>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</si>
  <si>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</si>
  <si>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</si>
  <si>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</si>
  <si>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</si>
  <si>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</si>
  <si>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</si>
  <si>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</si>
  <si>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</si>
  <si>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</si>
  <si>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</si>
  <si>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</si>
  <si>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</si>
  <si>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</si>
  <si>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</si>
  <si>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</si>
  <si>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</si>
  <si>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</si>
  <si>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</si>
  <si>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</si>
  <si>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</si>
  <si>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</si>
  <si>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</si>
  <si>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</si>
  <si>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</si>
  <si>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</si>
  <si>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</si>
  <si>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</si>
  <si>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</si>
  <si>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</si>
  <si>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</si>
  <si>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</si>
  <si>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</si>
  <si>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</si>
  <si>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</si>
  <si>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</si>
  <si>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</si>
  <si>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</si>
  <si>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</si>
  <si>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</si>
  <si>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</si>
  <si>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</si>
  <si>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</si>
  <si>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</si>
  <si>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</si>
  <si>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</si>
  <si>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</si>
  <si>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</si>
  <si>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</si>
  <si>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</si>
  <si>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</si>
  <si>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</si>
  <si>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</si>
  <si>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</si>
  <si>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</si>
  <si>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</si>
  <si>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</si>
  <si>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</si>
  <si>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</si>
  <si>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</si>
  <si>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</si>
  <si>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</si>
  <si>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</si>
  <si>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</si>
  <si>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</si>
  <si>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</si>
  <si>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</si>
  <si>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</si>
  <si>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</si>
  <si>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</si>
  <si>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</si>
  <si>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</si>
  <si>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</si>
  <si>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</si>
  <si>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</si>
  <si>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</si>
  <si>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</si>
  <si>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</si>
  <si>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</si>
  <si>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</si>
  <si>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</si>
  <si>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</si>
  <si>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</si>
  <si>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</si>
  <si>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</si>
  <si>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</si>
  <si>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</si>
  <si>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</si>
  <si>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</si>
  <si>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</si>
  <si>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</si>
  <si>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</si>
  <si>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</si>
  <si>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</si>
  <si>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</si>
  <si>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</si>
  <si>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</si>
  <si>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</si>
  <si>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</si>
  <si>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</si>
  <si>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</si>
  <si>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</si>
  <si>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</si>
  <si>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</si>
  <si>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</si>
  <si>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</si>
  <si>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</si>
  <si>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</si>
  <si>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</si>
  <si>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</si>
  <si>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</si>
  <si>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</si>
  <si>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</si>
  <si>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</si>
  <si>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</si>
  <si>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</si>
  <si>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</si>
  <si>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</si>
  <si>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</si>
  <si>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</si>
  <si>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</si>
  <si>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</si>
  <si>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</si>
  <si>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</si>
  <si>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</si>
  <si>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</si>
  <si>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</si>
  <si>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</si>
  <si>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</si>
  <si>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</si>
  <si>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</si>
  <si>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</si>
  <si>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</si>
  <si>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</si>
  <si>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</si>
  <si>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</si>
  <si>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</si>
  <si>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</si>
  <si>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</si>
  <si>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</si>
  <si>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</si>
  <si>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</si>
  <si>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</si>
  <si>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</si>
  <si>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</si>
  <si>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</si>
  <si>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</si>
  <si>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</si>
  <si>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</si>
  <si>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</si>
  <si>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</si>
  <si>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</si>
  <si>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</si>
  <si>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</si>
  <si>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</si>
  <si>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</si>
  <si>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</si>
  <si>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</si>
  <si>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</si>
  <si>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</si>
  <si>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</si>
  <si>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</si>
  <si>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</si>
  <si>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</si>
  <si>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</si>
  <si>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</si>
  <si>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</si>
  <si>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</si>
  <si>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</si>
  <si>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</si>
  <si>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</si>
  <si>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</si>
  <si>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</si>
  <si>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</si>
  <si>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</si>
  <si>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</si>
  <si>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</si>
  <si>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</si>
  <si>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</si>
  <si>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</si>
  <si>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</si>
  <si>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</si>
  <si>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</si>
  <si>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</si>
  <si>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</si>
  <si>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</si>
  <si>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</si>
  <si>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</si>
  <si>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</si>
  <si>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</si>
  <si>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</si>
  <si>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</si>
  <si>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</si>
  <si>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</si>
  <si>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</si>
  <si>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</si>
  <si>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</si>
  <si>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</si>
  <si>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</si>
  <si>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</si>
  <si>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</si>
  <si>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</si>
  <si>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</si>
  <si>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</si>
  <si>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</si>
  <si>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</si>
  <si>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</si>
  <si>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</si>
  <si>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</si>
  <si>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</si>
  <si>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</si>
  <si>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</si>
  <si>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</si>
  <si>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</si>
  <si>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</si>
  <si>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</si>
  <si>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</si>
  <si>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</si>
  <si>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</si>
  <si>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</si>
  <si>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</si>
  <si>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</si>
  <si>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</si>
  <si>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</si>
  <si>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</si>
  <si>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</si>
  <si>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</si>
  <si>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</si>
  <si>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</si>
  <si>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</si>
  <si>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</si>
  <si>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</si>
  <si>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</si>
  <si>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</si>
  <si>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</si>
  <si>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</si>
  <si>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</si>
  <si>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</si>
  <si>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</si>
  <si>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</si>
  <si>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</si>
  <si>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</si>
  <si>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</si>
  <si>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</si>
  <si>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</si>
  <si>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</si>
  <si>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</si>
  <si>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</si>
  <si>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</si>
  <si>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</si>
  <si>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</si>
  <si>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</si>
  <si>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</si>
  <si>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</si>
  <si>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</si>
  <si>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</si>
  <si>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</si>
  <si>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</si>
  <si>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</si>
  <si>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</si>
  <si>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</si>
  <si>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</si>
  <si>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</si>
  <si>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</si>
  <si>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</si>
  <si>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</si>
  <si>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</si>
  <si>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</si>
  <si>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</si>
  <si>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</si>
  <si>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</si>
  <si>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</si>
  <si>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</si>
  <si>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</si>
  <si>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</si>
  <si>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</si>
  <si>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</si>
  <si>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</si>
  <si>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</si>
  <si>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</si>
  <si>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</si>
  <si>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</si>
  <si>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</si>
  <si>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</si>
  <si>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</si>
  <si>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</si>
  <si>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</si>
  <si>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</si>
  <si>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</si>
  <si>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</si>
  <si>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</si>
  <si>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</si>
  <si>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</si>
  <si>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</si>
  <si>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</si>
  <si>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</si>
  <si>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</si>
  <si>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</si>
  <si>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</si>
  <si>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</si>
  <si>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</si>
  <si>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</si>
  <si>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</si>
  <si>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</si>
  <si>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</si>
  <si>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</si>
  <si>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</si>
  <si>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</si>
  <si>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</si>
  <si>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</si>
  <si>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</si>
  <si>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</si>
  <si>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</si>
  <si>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</si>
  <si>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</si>
  <si>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</si>
  <si>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</si>
  <si>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</si>
  <si>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</si>
  <si>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</si>
  <si>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</si>
  <si>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</si>
  <si>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</si>
  <si>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</si>
  <si>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</si>
  <si>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</si>
  <si>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</si>
  <si>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</si>
  <si>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</si>
  <si>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</si>
  <si>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</si>
  <si>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</si>
  <si>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</si>
  <si>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</si>
  <si>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</si>
  <si>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</si>
  <si>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</si>
  <si>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</si>
  <si>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</si>
  <si>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</si>
  <si>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</si>
  <si>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</si>
  <si>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</si>
  <si>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</si>
  <si>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</si>
  <si>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</si>
  <si>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</si>
  <si>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</si>
  <si>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</si>
  <si>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</si>
  <si>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</si>
  <si>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</si>
  <si>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</si>
  <si>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</si>
  <si>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</si>
  <si>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</si>
  <si>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</si>
  <si>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</si>
  <si>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</si>
  <si>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</si>
  <si>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</si>
  <si>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</si>
  <si>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</si>
  <si>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</si>
  <si>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</si>
  <si>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</si>
  <si>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</si>
  <si>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</si>
  <si>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</si>
  <si>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</si>
  <si>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</si>
  <si>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</si>
  <si>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</si>
  <si>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</si>
  <si>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</si>
  <si>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</si>
  <si>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</si>
  <si>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</si>
  <si>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</si>
  <si>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</si>
  <si>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</si>
  <si>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</si>
  <si>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</si>
  <si>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</si>
  <si>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</si>
  <si>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</si>
  <si>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</si>
  <si>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</si>
  <si>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</si>
  <si>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</si>
  <si>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</si>
  <si>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</si>
  <si>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</si>
  <si>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</si>
  <si>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</si>
  <si>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</si>
  <si>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</si>
  <si>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</si>
  <si>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</si>
  <si>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</si>
  <si>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</si>
  <si>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</si>
  <si>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</si>
  <si>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</si>
  <si>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</si>
  <si>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</si>
  <si>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</si>
  <si>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</si>
  <si>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</si>
  <si>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</si>
  <si>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</si>
  <si>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</si>
  <si>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</si>
  <si>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</si>
  <si>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</si>
  <si>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</si>
  <si>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</si>
  <si>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</si>
  <si>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</si>
  <si>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</si>
  <si>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</si>
  <si>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</si>
  <si>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</si>
  <si>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</si>
  <si>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</si>
  <si>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</si>
  <si>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</si>
  <si>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</si>
  <si>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</si>
  <si>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</si>
  <si>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</si>
  <si>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</si>
  <si>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</si>
  <si>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</si>
  <si>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</si>
  <si>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</si>
  <si>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</si>
  <si>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</si>
  <si>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</si>
  <si>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</si>
  <si>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</si>
  <si>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</si>
  <si>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</si>
  <si>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</si>
  <si>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</si>
  <si>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</si>
  <si>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</si>
  <si>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</si>
  <si>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</si>
  <si>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</si>
  <si>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</si>
  <si>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</si>
  <si>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</si>
  <si>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</si>
  <si>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</si>
  <si>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</si>
  <si>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</si>
  <si>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</si>
  <si>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</si>
  <si>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</si>
  <si>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</si>
  <si>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</si>
  <si>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</si>
  <si>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</si>
  <si>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</si>
  <si>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</si>
  <si>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</si>
  <si>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</si>
  <si>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</si>
  <si>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</si>
  <si>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</si>
  <si>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</si>
  <si>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</si>
  <si>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</si>
  <si>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</si>
  <si>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</si>
  <si>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</si>
  <si>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</si>
  <si>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</si>
  <si>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</si>
  <si>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</si>
  <si>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</si>
  <si>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</si>
  <si>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</si>
  <si>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</si>
  <si>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</si>
  <si>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</si>
  <si>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</si>
  <si>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</si>
  <si>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</si>
  <si>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</si>
  <si>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</si>
  <si>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</si>
  <si>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</si>
  <si>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</si>
  <si>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</si>
  <si>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</si>
  <si>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</si>
  <si>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</si>
  <si>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</si>
  <si>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</si>
  <si>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</si>
  <si>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</si>
  <si>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</si>
  <si>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</si>
  <si>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</si>
  <si>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</si>
  <si>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</si>
  <si>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</si>
  <si>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</si>
  <si>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</si>
  <si>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</si>
  <si>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</si>
  <si>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</si>
  <si>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</si>
  <si>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</si>
  <si>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</si>
  <si>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</si>
  <si>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</si>
  <si>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</si>
  <si>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</si>
  <si>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</si>
  <si>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</si>
  <si>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</si>
  <si>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</si>
  <si>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</si>
  <si>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</si>
  <si>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</si>
  <si>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</si>
  <si>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</si>
  <si>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</si>
  <si>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</si>
  <si>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</si>
  <si>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</si>
  <si>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</si>
  <si>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</si>
  <si>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</si>
  <si>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</si>
  <si>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</si>
  <si>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</si>
  <si>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</si>
  <si>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</si>
  <si>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</si>
  <si>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</si>
  <si>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</si>
  <si>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</si>
  <si>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</si>
  <si>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</si>
  <si>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</si>
  <si>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</si>
  <si>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</si>
  <si>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</si>
  <si>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</si>
  <si>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</si>
  <si>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</si>
  <si>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</si>
  <si>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</si>
  <si>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</si>
  <si>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</si>
  <si>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</si>
  <si>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</si>
  <si>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</si>
  <si>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</si>
  <si>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</si>
  <si>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</si>
  <si>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</si>
  <si>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</si>
  <si>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</si>
  <si>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</si>
  <si>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</si>
  <si>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</si>
  <si>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</si>
  <si>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</si>
  <si>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</si>
  <si>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</si>
  <si>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</si>
  <si>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</si>
  <si>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</si>
  <si>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</si>
  <si>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</si>
  <si>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</si>
  <si>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</si>
  <si>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</si>
  <si>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</si>
  <si>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</si>
  <si>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</si>
  <si>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</si>
  <si>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</si>
  <si>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</si>
  <si>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</si>
  <si>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</si>
  <si>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</si>
  <si>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</si>
  <si>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</si>
  <si>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</si>
  <si>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</si>
  <si>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</si>
  <si>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</si>
  <si>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</si>
  <si>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</si>
  <si>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</si>
  <si>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</si>
  <si>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</si>
  <si>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</si>
  <si>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</si>
  <si>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</si>
  <si>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</si>
  <si>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</si>
  <si>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</si>
  <si>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</si>
  <si>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</si>
  <si>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</si>
  <si>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</si>
  <si>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</si>
  <si>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</si>
  <si>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</si>
  <si>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</si>
  <si>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</si>
  <si>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</si>
  <si>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</si>
  <si>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</si>
  <si>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</si>
  <si>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</si>
  <si>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</si>
  <si>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</si>
  <si>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</si>
  <si>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</si>
  <si>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</si>
  <si>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</si>
  <si>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</si>
  <si>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</si>
  <si>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</si>
  <si>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</si>
  <si>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</si>
  <si>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</si>
  <si>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</si>
  <si>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</si>
  <si>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</si>
  <si>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</si>
  <si>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</si>
  <si>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</si>
  <si>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</si>
  <si>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</si>
  <si>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</si>
  <si>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</si>
  <si>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</si>
  <si>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</si>
  <si>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</si>
  <si>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</si>
  <si>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</si>
  <si>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</si>
  <si>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</si>
  <si>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</si>
  <si>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</si>
  <si>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</si>
  <si>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</si>
  <si>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</si>
  <si>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</si>
  <si>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</si>
  <si>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</si>
  <si>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</si>
  <si>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</si>
  <si>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</si>
  <si>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</si>
  <si>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</si>
  <si>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</si>
  <si>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</si>
  <si>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</si>
  <si>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</si>
  <si>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</si>
  <si>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</si>
  <si>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</si>
  <si>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</si>
  <si>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</si>
  <si>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</si>
  <si>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</si>
  <si>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</si>
  <si>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</si>
  <si>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</si>
  <si>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</si>
  <si>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</si>
  <si>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</si>
  <si>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</si>
  <si>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</si>
  <si>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</si>
  <si>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</si>
  <si>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</si>
  <si>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</si>
  <si>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</si>
  <si>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</si>
  <si>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</si>
  <si>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</si>
  <si>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</si>
  <si>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</si>
  <si>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</si>
  <si>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</si>
  <si>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</si>
  <si>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</si>
  <si>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</si>
  <si>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</si>
  <si>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</si>
  <si>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</si>
  <si>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</si>
  <si>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</si>
  <si>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</si>
  <si>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</si>
  <si>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</si>
  <si>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</si>
  <si>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</si>
  <si>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</si>
  <si>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</si>
  <si>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</si>
  <si>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</si>
  <si>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</si>
  <si>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</si>
  <si>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</si>
  <si>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</si>
  <si>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</si>
  <si>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</si>
  <si>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</si>
  <si>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</si>
  <si>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</si>
  <si>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</si>
  <si>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</si>
  <si>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</si>
  <si>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</si>
  <si>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</si>
  <si>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</si>
  <si>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</si>
  <si>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</si>
  <si>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</si>
  <si>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</si>
  <si>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</si>
  <si>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</si>
  <si>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</si>
  <si>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</si>
  <si>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</si>
  <si>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</si>
  <si>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</si>
  <si>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</si>
  <si>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</si>
  <si>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</si>
  <si>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</si>
  <si>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</si>
  <si>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</si>
  <si>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</si>
  <si>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</si>
  <si>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</si>
  <si>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</si>
  <si>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</si>
  <si>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</si>
  <si>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</si>
  <si>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</si>
  <si>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</si>
  <si>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</si>
  <si>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</si>
  <si>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</si>
  <si>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</si>
  <si>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</si>
  <si>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</si>
  <si>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</si>
  <si>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</si>
  <si>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</si>
  <si>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</si>
  <si>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</si>
  <si>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</si>
  <si>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</si>
  <si>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</si>
  <si>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</si>
  <si>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</si>
  <si>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</si>
  <si>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</si>
  <si>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</si>
  <si>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</si>
  <si>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</si>
  <si>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</si>
  <si>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</si>
  <si>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</si>
  <si>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</si>
  <si>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</si>
  <si>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</si>
  <si>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</si>
  <si>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</si>
  <si>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</si>
  <si>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</si>
  <si>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</si>
  <si>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</si>
  <si>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</si>
  <si>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</si>
  <si>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</si>
  <si>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</si>
  <si>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</si>
  <si>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</si>
  <si>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</si>
  <si>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</si>
  <si>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</si>
  <si>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</si>
  <si>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</si>
  <si>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</si>
  <si>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</si>
  <si>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</si>
  <si>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</si>
  <si>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</si>
  <si>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</si>
  <si>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</si>
  <si>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</si>
  <si>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</si>
  <si>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</si>
  <si>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</si>
  <si>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</si>
  <si>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</si>
  <si>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</si>
  <si>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</si>
  <si>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</si>
  <si>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</si>
  <si>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</si>
  <si>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</si>
  <si>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</si>
  <si>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</si>
  <si>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</si>
  <si>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</si>
  <si>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</si>
  <si>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</si>
  <si>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</si>
  <si>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</si>
  <si>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</si>
  <si>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</si>
  <si>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</si>
  <si>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</si>
  <si>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</si>
  <si>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</si>
  <si>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</si>
  <si>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</si>
  <si>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</si>
  <si>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</si>
  <si>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</si>
  <si>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</si>
  <si>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</si>
  <si>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</si>
  <si>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</si>
  <si>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</si>
  <si>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</si>
  <si>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</si>
  <si>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</si>
  <si>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</si>
  <si>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</si>
  <si>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</si>
  <si>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</si>
  <si>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</si>
  <si>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</si>
  <si>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</si>
  <si>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</si>
  <si>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</si>
  <si>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</si>
  <si>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</si>
  <si>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</si>
  <si>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</si>
  <si>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</si>
  <si>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</si>
  <si>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</si>
  <si>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</si>
  <si>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</si>
  <si>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</si>
  <si>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</si>
  <si>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</si>
  <si>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</si>
  <si>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</si>
  <si>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</si>
  <si>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</si>
  <si>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</si>
  <si>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</si>
  <si>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</si>
  <si>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</si>
  <si>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</si>
  <si>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</si>
  <si>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</si>
  <si>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</si>
  <si>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</si>
  <si>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</si>
  <si>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</si>
  <si>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</si>
  <si>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</si>
  <si>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</si>
  <si>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</si>
  <si>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</si>
  <si>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</si>
  <si>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</si>
  <si>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</si>
  <si>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</si>
  <si>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</si>
  <si>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</si>
  <si>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</si>
  <si>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</si>
  <si>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</si>
  <si>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</si>
  <si>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</si>
  <si>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</si>
  <si>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</si>
  <si>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</si>
  <si>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</si>
  <si>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</si>
  <si>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</si>
  <si>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</si>
  <si>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</si>
  <si>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</si>
  <si>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</si>
  <si>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</si>
  <si>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</si>
  <si>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</si>
  <si>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</si>
  <si>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</si>
  <si>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</si>
  <si>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</si>
  <si>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</si>
  <si>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</si>
  <si>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</si>
  <si>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</si>
  <si>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</si>
  <si>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</si>
  <si>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</si>
  <si>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</si>
  <si>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</si>
  <si>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</si>
  <si>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</si>
  <si>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</si>
  <si>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</si>
  <si>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</si>
  <si>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</si>
  <si>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</si>
  <si>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</si>
  <si>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</si>
  <si>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</si>
  <si>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</si>
  <si>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</si>
  <si>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</si>
  <si>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</si>
  <si>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</si>
  <si>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</si>
  <si>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</si>
  <si>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</si>
  <si>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</si>
  <si>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</si>
  <si>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</si>
  <si>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</si>
  <si>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</si>
  <si>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</si>
  <si>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</si>
  <si>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</si>
  <si>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</si>
  <si>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</si>
  <si>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</si>
  <si>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</si>
  <si>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</si>
  <si>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</si>
  <si>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</si>
  <si>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</si>
  <si>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</si>
  <si>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</si>
  <si>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</si>
  <si>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</si>
  <si>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</si>
  <si>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</si>
  <si>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</si>
  <si>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</si>
  <si>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</si>
  <si>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</si>
  <si>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</si>
  <si>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</si>
  <si>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</si>
  <si>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</si>
  <si>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</si>
  <si>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</si>
  <si>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</si>
  <si>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</si>
  <si>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</si>
  <si>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</si>
  <si>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</si>
  <si>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</si>
  <si>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</si>
  <si>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</si>
  <si>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</si>
  <si>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</si>
  <si>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</si>
  <si>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</si>
  <si>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</si>
  <si>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</si>
  <si>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</si>
  <si>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</si>
  <si>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</si>
  <si>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</si>
  <si>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</si>
  <si>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</si>
  <si>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</si>
  <si>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</si>
  <si>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</si>
  <si>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</si>
  <si>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</si>
  <si>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</si>
  <si>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</si>
  <si>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</si>
  <si>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</si>
  <si>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</si>
  <si>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</si>
  <si>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</si>
  <si>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</si>
  <si>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</si>
  <si>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</si>
  <si>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</si>
  <si>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</si>
  <si>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</si>
  <si>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</si>
  <si>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</si>
  <si>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</si>
  <si>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</si>
  <si>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</si>
  <si>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</si>
  <si>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</si>
  <si>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</si>
  <si>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</si>
  <si>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</si>
  <si>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</si>
  <si>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</si>
  <si>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</si>
  <si>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</si>
  <si>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</si>
  <si>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</si>
  <si>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</si>
  <si>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</si>
  <si>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</si>
  <si>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</si>
  <si>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</si>
  <si>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</si>
  <si>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</si>
  <si>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</si>
  <si>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</si>
  <si>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</si>
  <si>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</si>
  <si>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</si>
  <si>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</si>
  <si>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</si>
  <si>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</si>
  <si>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</si>
  <si>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</si>
  <si>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</si>
  <si>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</si>
  <si>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</si>
  <si>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</si>
  <si>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</si>
  <si>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</si>
  <si>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</si>
  <si>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</si>
  <si>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</si>
  <si>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</si>
  <si>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</si>
  <si>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</si>
  <si>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</si>
  <si>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</si>
  <si>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</si>
  <si>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</si>
  <si>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</si>
  <si>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</si>
  <si>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</si>
  <si>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</si>
  <si>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</si>
  <si>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</si>
  <si>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</si>
  <si>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</si>
  <si>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</si>
  <si>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</si>
  <si>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</si>
  <si>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</si>
  <si>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</si>
  <si>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</si>
  <si>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</si>
  <si>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</si>
  <si>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</si>
  <si>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</si>
  <si>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</si>
  <si>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</si>
  <si>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</si>
  <si>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</si>
  <si>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</si>
  <si>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</si>
  <si>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</si>
  <si>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</si>
  <si>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</si>
  <si>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</si>
  <si>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</si>
  <si>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</si>
  <si>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</si>
  <si>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</si>
  <si>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</si>
  <si>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</si>
  <si>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</si>
  <si>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</si>
  <si>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</si>
  <si>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</si>
  <si>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</si>
  <si>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</si>
  <si>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</si>
  <si>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</si>
  <si>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</si>
  <si>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</si>
  <si>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</si>
  <si>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</si>
  <si>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</si>
  <si>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</si>
  <si>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</si>
  <si>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</si>
  <si>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</si>
  <si>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</si>
  <si>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</si>
  <si>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</si>
  <si>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</si>
  <si>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</si>
  <si>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</si>
  <si>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</si>
  <si>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</si>
  <si>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</si>
  <si>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</si>
  <si>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</si>
  <si>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</si>
  <si>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</si>
  <si>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</si>
  <si>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</si>
  <si>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</si>
  <si>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</si>
  <si>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</si>
  <si>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</si>
  <si>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</si>
  <si>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</si>
  <si>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</si>
  <si>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</si>
  <si>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</si>
  <si>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</si>
  <si>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</si>
  <si>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</si>
  <si>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</si>
  <si>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</si>
  <si>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</si>
  <si>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</si>
  <si>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</si>
  <si>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</si>
  <si>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</si>
  <si>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</si>
  <si>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</si>
  <si>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</si>
  <si>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</si>
  <si>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</si>
  <si>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</si>
  <si>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</si>
  <si>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</si>
  <si>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</si>
  <si>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</si>
  <si>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</si>
  <si>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</si>
  <si>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</si>
  <si>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</si>
  <si>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</si>
  <si>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</si>
  <si>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</si>
  <si>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</si>
  <si>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</si>
  <si>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</si>
  <si>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</si>
  <si>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</si>
  <si>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</si>
  <si>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</si>
  <si>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</si>
  <si>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</si>
  <si>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</si>
  <si>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</si>
  <si>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</si>
  <si>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</si>
  <si>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</si>
  <si>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</si>
  <si>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</si>
  <si>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</si>
  <si>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</si>
  <si>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</si>
  <si>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</si>
  <si>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</si>
  <si>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</si>
  <si>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</si>
  <si>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</si>
  <si>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</si>
  <si>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</si>
  <si>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</si>
  <si>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</si>
  <si>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</si>
  <si>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</si>
  <si>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</si>
  <si>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</si>
  <si>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</si>
  <si>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</si>
  <si>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</si>
  <si>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</si>
  <si>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</si>
  <si>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</si>
  <si>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</si>
  <si>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</si>
  <si>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</si>
  <si>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</si>
  <si>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</si>
  <si>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</si>
  <si>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</si>
  <si>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</si>
  <si>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</si>
  <si>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</si>
  <si>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</si>
  <si>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</si>
  <si>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</si>
  <si>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</si>
  <si>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</si>
  <si>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</si>
  <si>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</si>
  <si>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</si>
  <si>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</si>
  <si>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</si>
  <si>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</si>
  <si>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</si>
  <si>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</si>
  <si>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</si>
  <si>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</si>
  <si>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</si>
  <si>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</si>
  <si>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</si>
  <si>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</si>
  <si>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</si>
  <si>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</si>
  <si>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</si>
  <si>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</si>
  <si>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</si>
  <si>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</si>
  <si>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</si>
  <si>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</si>
  <si>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</si>
  <si>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</si>
  <si>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</si>
  <si>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</si>
  <si>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</si>
  <si>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</si>
  <si>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</si>
  <si>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</si>
  <si>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</si>
  <si>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</si>
  <si>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</si>
  <si>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</si>
  <si>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</si>
  <si>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</si>
  <si>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</si>
  <si>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</si>
  <si>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</si>
  <si>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</si>
  <si>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</si>
  <si>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</si>
  <si>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</si>
  <si>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</si>
  <si>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</si>
  <si>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</si>
  <si>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</si>
  <si>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</si>
  <si>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</si>
  <si>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</si>
  <si>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</si>
  <si>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</si>
  <si>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</si>
  <si>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</si>
  <si>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</si>
  <si>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</si>
  <si>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</si>
  <si>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</si>
  <si>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</si>
  <si>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</si>
  <si>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</si>
  <si>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</si>
  <si>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</si>
  <si>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</si>
  <si>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</si>
  <si>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</si>
  <si>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</si>
  <si>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</si>
  <si>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</si>
  <si>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</si>
  <si>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</si>
  <si>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</si>
  <si>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</si>
  <si>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</si>
  <si>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</si>
  <si>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</si>
  <si>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</si>
  <si>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</si>
  <si>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</si>
  <si>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</si>
  <si>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</si>
  <si>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</si>
  <si>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</si>
  <si>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</si>
  <si>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</si>
  <si>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</si>
  <si>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</si>
  <si>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</si>
  <si>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</si>
  <si>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</si>
  <si>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</si>
  <si>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</si>
  <si>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</si>
  <si>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</si>
  <si>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</si>
  <si>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</si>
  <si>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</si>
  <si>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</si>
  <si>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</si>
  <si>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</si>
  <si>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</si>
  <si>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</si>
  <si>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</si>
  <si>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</si>
  <si>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</si>
  <si>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</si>
  <si>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</si>
  <si>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</si>
  <si>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</si>
  <si>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</si>
  <si>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</si>
  <si>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</si>
  <si>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</si>
  <si>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</si>
  <si>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</si>
  <si>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</si>
  <si>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</si>
  <si>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</si>
  <si>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</si>
  <si>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</si>
  <si>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</si>
  <si>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</si>
  <si>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</si>
  <si>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</si>
  <si>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</si>
  <si>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</si>
  <si>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</si>
  <si>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</si>
  <si>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</si>
  <si>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</si>
  <si>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</si>
  <si>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</si>
  <si>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</si>
  <si>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</si>
  <si>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</si>
  <si>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</si>
  <si>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</si>
  <si>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</si>
  <si>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</si>
  <si>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</si>
  <si>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</si>
  <si>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</si>
  <si>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</si>
  <si>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</si>
  <si>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2023-24 5% pay award (actuals to date plus forecast for remainder of year)</t>
  </si>
  <si>
    <t>2022-23 1.5% Consolidated pay award (actuals to date plus forecast for remainder of year)</t>
  </si>
  <si>
    <t>As confirmed on non-cash submission 25-08-2023</t>
  </si>
  <si>
    <t>NHS Executive - ICT Equipment</t>
  </si>
  <si>
    <t>Karen Evans</t>
  </si>
  <si>
    <t>Tarian Development</t>
  </si>
  <si>
    <t>Winter Communications Campaign</t>
  </si>
  <si>
    <t>Entered in P01 - Invoice raised for P01 - P06</t>
  </si>
  <si>
    <t>Agreed by WG Kirsty Richards, Q1 due to be paid shortly</t>
  </si>
  <si>
    <t>2023-24 M&amp;D 5% pay award (actuals to date plus forecast for remainder of year)</t>
  </si>
  <si>
    <t>M&amp;D(W) 06/2023 Pay Circular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</si>
</sst>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1640625" defaultRowHeight="20.100000000000001" customHeight="1"/>
  <cols>
    <col min="1" max="1" width="8.81640625" style="1924"/>
    <col min="2" max="2" width="37.08984375" style="1924" bestFit="1" customWidth="1"/>
    <col min="3" max="4" width="9.81640625" style="1924" customWidth="1"/>
    <col min="5" max="6" width="8.81640625" style="1924"/>
    <col min="7" max="7" width="11.453125" style="1924" customWidth="1"/>
    <col min="8" max="8" width="12.08984375" style="1924" customWidth="1"/>
    <col min="9" max="12" width="8.81640625" style="1924"/>
    <col min="13" max="13" width="6.08984375" style="1924" customWidth="1"/>
    <col min="14" max="14" width="94.54296875" style="1924" customWidth="1"/>
    <col min="15" max="18" width="8.54296875" style="1924" customWidth="1"/>
    <col min="19" max="20" width="8.81640625" style="1924"/>
    <col min="21" max="21" width="6.08984375" style="1924" customWidth="1"/>
    <col min="22" max="22" width="92.81640625" style="1924" customWidth="1"/>
    <col min="23" max="34" width="9.81640625" style="1924" customWidth="1"/>
    <col min="35" max="39" width="8.54296875" style="1924" customWidth="1"/>
    <col min="40" max="42" width="8.81640625" style="1924"/>
    <col min="43" max="43" width="52.1796875" style="1924" bestFit="1" customWidth="1"/>
    <col min="44" max="52" width="8.81640625" style="1924"/>
    <col min="53" max="53" width="56.08984375" style="1924" customWidth="1"/>
    <col min="54" max="55" width="12.08984375" style="1924" customWidth="1"/>
    <col min="56" max="57" width="6.08984375" style="1924" customWidth="1"/>
    <col min="58" max="58" width="60.54296875" style="1924" bestFit="1" customWidth="1"/>
    <col min="59" max="59" width="30.1796875" style="1924" bestFit="1" customWidth="1"/>
    <col min="60" max="60" width="11.08984375" style="1924" customWidth="1"/>
    <col min="61" max="61" width="8.1796875" style="1924" customWidth="1"/>
    <col min="62" max="72" width="8.81640625" style="1924"/>
    <col min="73" max="73" width="10.81640625" style="1924" customWidth="1"/>
    <col min="74" max="76" width="8.81640625" style="1924" customWidth="1"/>
    <col min="77" max="77" width="98.1796875" style="1924" bestFit="1" customWidth="1"/>
    <col min="78" max="91" width="8.81640625" style="1924" customWidth="1"/>
    <col min="92" max="93" width="8.81640625" style="1924"/>
    <col min="94" max="94" width="45.54296875" style="1924" bestFit="1" customWidth="1"/>
    <col min="95" max="110" width="8.81640625" style="1924"/>
    <col min="111" max="111" width="80.81640625" style="2826" bestFit="1" customWidth="1"/>
    <col min="112" max="128" width="8.81640625" style="1924"/>
    <col min="129" max="129" width="9.1796875" style="1924" customWidth="1"/>
    <col min="130" max="130" width="14.81640625" style="1924" customWidth="1"/>
    <col min="131" max="131" width="16" style="1924" customWidth="1"/>
    <col min="132" max="149" width="8.81640625" style="1924"/>
    <col min="150" max="152" width="9.453125" style="1924" customWidth="1"/>
    <col min="153" max="177" width="8.81640625" style="1924"/>
    <col min="178" max="178" width="31.1796875" style="1924" bestFit="1" customWidth="1"/>
    <col min="179" max="185" width="11" style="1924" customWidth="1"/>
    <col min="186" max="188" width="8.81640625" style="1924"/>
    <col min="189" max="189" width="44.08984375" style="1924" bestFit="1" customWidth="1"/>
    <col min="190" max="190" width="15.453125" style="1924" customWidth="1"/>
    <col min="191" max="193" width="10.453125" style="1924" customWidth="1"/>
    <col min="194" max="194" width="13.1796875" style="1924" bestFit="1" customWidth="1"/>
    <col min="195" max="195" width="13.81640625" style="1924" bestFit="1" customWidth="1"/>
    <col min="196" max="196" width="16.1796875" style="1924" bestFit="1" customWidth="1"/>
    <col min="197" max="197" width="15.81640625" style="1924" bestFit="1" customWidth="1"/>
    <col min="198" max="198" width="14.81640625" style="1924" bestFit="1" customWidth="1"/>
    <col min="199" max="199" width="15.453125" style="1924" bestFit="1" customWidth="1"/>
    <col min="200" max="202" width="8.81640625" style="1924"/>
    <col min="203" max="203" width="39.453125" style="1924" customWidth="1"/>
    <col min="204" max="223" width="8.81640625" style="1924"/>
    <col min="224" max="224" width="64.453125" style="1924" bestFit="1" customWidth="1"/>
    <col min="225" max="227" width="18" style="1924" customWidth="1"/>
    <col min="228" max="230" width="8.81640625" style="1924"/>
    <col min="231" max="231" width="49.1796875" style="1924" bestFit="1" customWidth="1"/>
    <col min="232" max="244" width="10.81640625" style="1924" customWidth="1"/>
    <col min="245" max="246" width="8.81640625" style="1924"/>
    <col min="247" max="247" width="16.1796875" style="1924" bestFit="1" customWidth="1"/>
    <col min="248" max="248" width="50.453125" style="1924" bestFit="1" customWidth="1"/>
    <col min="249" max="258" width="9.1796875" style="1924" customWidth="1"/>
    <col min="259" max="263" width="8.81640625" style="1924"/>
    <col min="264" max="264" width="10.1796875" style="1924" customWidth="1"/>
    <col min="265" max="265" width="29.1796875" style="1924" customWidth="1"/>
    <col min="266" max="266" width="35.1796875" style="1924" bestFit="1" customWidth="1"/>
    <col min="267" max="267" width="7.81640625" style="1924" customWidth="1"/>
    <col min="268" max="268" width="8.54296875" style="1924" bestFit="1" customWidth="1"/>
    <col min="269" max="269" width="7.08984375" style="1924" customWidth="1"/>
    <col min="270" max="270" width="5.54296875" style="1924" bestFit="1" customWidth="1"/>
    <col min="271" max="271" width="8.08984375" style="1924" bestFit="1" customWidth="1"/>
    <col min="272" max="272" width="8.54296875" style="1924" bestFit="1" customWidth="1"/>
    <col min="273" max="273" width="4.54296875" style="1924" customWidth="1"/>
    <col min="274" max="274" width="8.54296875" style="1924" customWidth="1"/>
    <col min="275" max="276" width="9.08984375" style="1924" customWidth="1"/>
    <col min="277" max="277" width="8.81640625" style="1924"/>
    <col min="278" max="296" width="9.81640625" style="1924" customWidth="1"/>
    <col min="297" max="299" width="8.81640625" style="1924"/>
    <col min="300" max="300" width="25" style="1924" customWidth="1"/>
    <col min="301" max="302" width="35.1796875" style="1924" bestFit="1" customWidth="1"/>
    <col min="303" max="303" width="15.54296875" style="1924" bestFit="1" customWidth="1"/>
    <col min="304" max="307" width="13.81640625" style="1924" customWidth="1"/>
    <col min="308" max="311" width="8.453125" style="1924" customWidth="1"/>
    <col min="312" max="312" width="8.08984375" style="1924" bestFit="1" customWidth="1"/>
    <col min="313" max="313" width="6.81640625" style="1924" bestFit="1" customWidth="1"/>
    <col min="314" max="314" width="8.453125" style="1924" customWidth="1"/>
    <col min="315" max="315" width="8.81640625" style="1924"/>
    <col min="316" max="317" width="8.81640625" style="1946"/>
    <col min="318" max="318" width="49.81640625" style="1946" bestFit="1" customWidth="1"/>
    <col min="319" max="323" width="8.81640625" style="1946"/>
    <col min="324" max="324" width="8.81640625" style="1924"/>
    <col min="325" max="325" width="9.1796875" style="1924" customWidth="1"/>
    <col min="326" max="326" width="7.1796875" style="1924" bestFit="1" customWidth="1"/>
    <col min="327" max="327" width="11.81640625" style="1924" bestFit="1" customWidth="1"/>
    <col min="328" max="329" width="10.1796875" style="1924" bestFit="1" customWidth="1"/>
    <col min="330" max="330" width="20.08984375" style="1924" customWidth="1"/>
    <col min="331" max="331" width="11" style="1924" customWidth="1"/>
    <col min="332" max="332" width="13.81640625" style="1924" customWidth="1"/>
    <col min="333" max="333" width="11.54296875" style="1924" customWidth="1"/>
    <col min="334" max="334" width="56.08984375" style="1924" bestFit="1" customWidth="1"/>
    <col min="335" max="335" width="8.81640625" style="1924"/>
    <col min="336" max="336" width="59.1796875" style="1924" customWidth="1"/>
    <col min="337" max="337" width="30.81640625" style="1924" customWidth="1"/>
    <col min="338" max="338" width="11.54296875" style="1924" customWidth="1"/>
    <col min="339" max="342" width="16" style="1924" customWidth="1"/>
    <col min="343" max="343" width="3.81640625" style="1924" customWidth="1"/>
    <col min="344" max="344" width="15.81640625" style="1924" customWidth="1"/>
    <col min="345" max="345" width="8.81640625" style="1924"/>
    <col min="346" max="346" width="55.1796875" style="1924" customWidth="1"/>
    <col min="347" max="347" width="15.08984375" style="1924" customWidth="1"/>
    <col min="348" max="348" width="8.81640625" style="1924"/>
    <col min="349" max="352" width="15.81640625" style="1924" customWidth="1"/>
    <col min="353" max="353" width="2.54296875" style="1924" customWidth="1"/>
    <col min="354" max="354" width="15.81640625" style="1924" customWidth="1"/>
    <col min="355" max="356" width="8.81640625" style="1924"/>
    <col min="357" max="357" width="71.08984375" style="1924" customWidth="1"/>
    <col min="358" max="358" width="26.1796875" style="1924" customWidth="1"/>
    <col min="359" max="359" width="11.1796875" style="1924" customWidth="1"/>
    <col min="360" max="360" width="10.81640625" style="1924" customWidth="1"/>
    <col min="361" max="364" width="8.81640625" style="1924"/>
    <col min="365" max="365" width="11.81640625" style="1924" customWidth="1"/>
    <col min="366" max="16384" width="8.81640625" style="1924"/>
  </cols>
  <sheetData>
    <row r="1" spans="1:376" ht="30" customHeight="1">
      <c r="A1" s="1919" t="str">
        <f>Summary!A1</f>
        <v>Public Health Wales Trust</v>
      </c>
      <c r="B1" s="1919"/>
      <c r="C1" s="1920"/>
      <c r="D1" s="1921"/>
      <c r="E1" s="1921"/>
      <c r="F1" s="1921"/>
      <c r="G1" s="1922" t="str">
        <f>Summary!G1</f>
        <v>Period :</v>
      </c>
      <c r="H1" s="1923" t="str">
        <f>Summary!H1</f>
        <v>Oct 23</v>
      </c>
      <c r="I1" s="1921"/>
      <c r="J1" s="1921"/>
      <c r="K1" s="1921"/>
      <c r="M1" s="1919" t="str">
        <f>'A - Movement'!A1</f>
        <v>Public Health Wales Trust</v>
      </c>
      <c r="N1" s="1925"/>
      <c r="O1" s="1925"/>
      <c r="P1" s="1925"/>
      <c r="Q1" s="1925"/>
      <c r="R1" s="1925" t="str">
        <f>'A - Movement'!E1</f>
        <v>Period :</v>
      </c>
      <c r="S1" s="1926" t="str">
        <f>'A - Movement'!F1</f>
        <v>Oct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Oct 23</v>
      </c>
      <c r="AN1" s="1926"/>
      <c r="AO1" s="1927"/>
      <c r="AP1" s="127" t="str">
        <f>'A1 - Underlying Position'!A1</f>
        <v>Public Health Wales Trust</v>
      </c>
      <c r="AQ1" s="150"/>
      <c r="AR1" s="1377"/>
      <c r="AS1" s="1377"/>
      <c r="AT1" s="1378"/>
      <c r="AU1" s="1378"/>
      <c r="AV1" s="1377" t="str">
        <f>'A1 - Underlying Position'!G1</f>
        <v>Period :</v>
      </c>
      <c r="AW1" s="1416" t="str">
        <f>'A1 - Underlying Position'!H1</f>
        <v>Oct 23</v>
      </c>
      <c r="AX1" s="1744"/>
      <c r="AZ1" s="79" t="str">
        <f>'A2 - Risks'!A1</f>
        <v>Public Health Wales Trust</v>
      </c>
      <c r="BA1" s="71"/>
      <c r="BB1" s="70" t="str">
        <f>'A2 - Risks'!C1</f>
        <v xml:space="preserve">Period : </v>
      </c>
      <c r="BC1" s="151" t="str">
        <f>'A2 - Risks'!D1</f>
        <v>Oct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Oct 23</v>
      </c>
      <c r="CL1" s="80"/>
      <c r="CM1" s="80"/>
      <c r="CO1" s="1357" t="str">
        <f>'B2 - Pay &amp; Agency'!A1</f>
        <v>Public Health Wales Trust</v>
      </c>
      <c r="CP1" s="373"/>
      <c r="CQ1" s="80"/>
      <c r="CR1" s="373" t="str">
        <f>'B2 - Pay &amp; Agency'!D1</f>
        <v xml:space="preserve">Period :  </v>
      </c>
      <c r="CS1" s="1303" t="str">
        <f>'B2 - Pay &amp; Agency'!E1</f>
        <v>Oct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Oct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Oct 23</v>
      </c>
      <c r="HL1" s="71"/>
      <c r="HM1" s="71"/>
      <c r="HO1" s="1919" t="str">
        <f>'F - SoFP'!A1</f>
        <v>Public Health Wales Trust</v>
      </c>
      <c r="HP1" s="1744"/>
      <c r="HQ1" s="1935" t="str">
        <f>'F - SoFP'!C1</f>
        <v>Period :</v>
      </c>
      <c r="HR1" s="1936" t="str">
        <f>'F - SoFP'!D1</f>
        <v>Oct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Oct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Oct 23</v>
      </c>
      <c r="JB1" s="1744"/>
      <c r="JD1" s="1919" t="str">
        <f>'I - Capital RLM'!A1</f>
        <v>Public Health Wales Trust</v>
      </c>
      <c r="JE1" s="1744"/>
      <c r="JF1" s="1744"/>
      <c r="JG1" s="1744"/>
      <c r="JH1" s="1744"/>
      <c r="JI1" s="1942"/>
      <c r="JJ1" s="1744"/>
      <c r="JK1" s="1939" t="str">
        <f>'I - Capital RLM'!H1</f>
        <v xml:space="preserve">Period : </v>
      </c>
      <c r="JL1" s="1923" t="str">
        <f>'I - Capital RLM'!I1</f>
        <v>Oct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Oct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Oct 23</v>
      </c>
      <c r="LB1" s="1744"/>
      <c r="LC1" s="1945"/>
      <c r="LE1" s="1357" t="str">
        <f>'L - EFL'!A1</f>
        <v>Public Health Wales Trust</v>
      </c>
      <c r="LF1" s="1641"/>
      <c r="LG1" s="71"/>
      <c r="LH1" s="150" t="str">
        <f>'L - EFL'!D1</f>
        <v xml:space="preserve">Period :  </v>
      </c>
      <c r="LI1" s="1640" t="str">
        <f>'L - EFL'!E1</f>
        <v>Oct 23</v>
      </c>
      <c r="LJ1" s="71"/>
      <c r="LL1" s="1747"/>
      <c r="LM1" s="810" t="str">
        <f>'M - Aged Debtors'!B1</f>
        <v>Public Health Wales Trust</v>
      </c>
      <c r="LN1" s="881"/>
      <c r="LO1" s="882"/>
      <c r="LP1" s="882"/>
      <c r="LQ1" s="1159"/>
      <c r="LR1" s="1748"/>
      <c r="LS1" s="814"/>
      <c r="LT1" s="1145" t="s">
        <v>461</v>
      </c>
      <c r="LU1" s="988" t="str">
        <f>'M - Aged Debtors'!J1</f>
        <v>Oct 23</v>
      </c>
      <c r="LV1" s="1747"/>
      <c r="LX1" s="421" t="str">
        <f>'N - GMS'!A1</f>
        <v>Public Health Wales Trust</v>
      </c>
      <c r="LY1" s="69"/>
      <c r="LZ1" s="422"/>
      <c r="MA1" s="423" t="str">
        <f>'N - GMS'!D1</f>
        <v>Period :</v>
      </c>
      <c r="MB1" s="423" t="str">
        <f>'N - GMS'!E1</f>
        <v>Oct 23</v>
      </c>
      <c r="MC1" s="423"/>
      <c r="MD1" s="423"/>
      <c r="ME1" s="423"/>
      <c r="MF1" s="423"/>
      <c r="MH1" s="421" t="str">
        <f>'O - Dental'!A1</f>
        <v>Public Health Wales Trust</v>
      </c>
      <c r="MI1" s="80"/>
      <c r="MJ1" s="684"/>
      <c r="MK1" s="685"/>
      <c r="ML1" s="685"/>
      <c r="MM1" s="423" t="str">
        <f>'O - Dental'!F1</f>
        <v>Period :</v>
      </c>
      <c r="MN1" s="423" t="str">
        <f>'O - Dental'!G1</f>
        <v>Oct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Oct 23</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Oct 23 =</v>
      </c>
      <c r="LT2" s="1162">
        <f>'M - Aged Debtors'!I2</f>
        <v>45153</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Oct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Oct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Oct 23</v>
      </c>
      <c r="FS3" s="1931"/>
      <c r="FU3" s="1939"/>
      <c r="FV3" s="1939"/>
      <c r="FW3" s="1744"/>
      <c r="FX3" s="1744"/>
      <c r="FY3" s="1744"/>
      <c r="FZ3" s="1744"/>
      <c r="GA3" s="1744"/>
      <c r="GB3" s="1925" t="str">
        <f>'D - Welsh NHS Assumptions'!H3</f>
        <v>Period :</v>
      </c>
      <c r="GC3" s="1940" t="str">
        <f>'D - Welsh NHS Assumptions'!I3</f>
        <v>Oct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Oct 23 =</v>
      </c>
      <c r="LT3" s="1164">
        <f>'M - Aged Debtors'!I3</f>
        <v>45111</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7</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Welsh Government</v>
      </c>
      <c r="LN6" s="1761">
        <f>'M - Aged Debtors'!C6</f>
        <v>50055417</v>
      </c>
      <c r="LO6" s="1762">
        <f>'M - Aged Debtors'!D6</f>
        <v>45121</v>
      </c>
      <c r="LP6" s="1763">
        <f>'M - Aged Debtors'!E6</f>
        <v>186250</v>
      </c>
      <c r="LQ6" s="1971">
        <f>'M - Aged Debtors'!F6</f>
        <v>186250</v>
      </c>
      <c r="LR6" s="1165" t="str">
        <f>'M - Aged Debtors'!G6</f>
        <v>Yes, valid entry for period</v>
      </c>
      <c r="LS6" s="826">
        <f>'M - Aged Debtors'!H6</f>
        <v>186250</v>
      </c>
      <c r="LT6" s="826" t="str">
        <f>'M - Aged Debtors'!I6</f>
        <v/>
      </c>
      <c r="LU6" s="827">
        <f>'M - Aged Debtors'!J6</f>
        <v>45240</v>
      </c>
      <c r="LV6" s="1756" t="str">
        <f>'M - Aged Debtors'!K6</f>
        <v>Agreed by WG Kirsty Richards, Q1 due to be paid shortly</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Oct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1954</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f>'M - Aged Debtors'!B7</f>
        <v>0</v>
      </c>
      <c r="LN7" s="1761">
        <f>'M - Aged Debtors'!C7</f>
        <v>0</v>
      </c>
      <c r="LO7" s="1762">
        <f>'M - Aged Debtors'!D7</f>
        <v>0</v>
      </c>
      <c r="LP7" s="1763">
        <f>'M - Aged Debtors'!E7</f>
        <v>0</v>
      </c>
      <c r="LQ7" s="1971">
        <f>'M - Aged Debtors'!F7</f>
        <v>0</v>
      </c>
      <c r="LR7" s="1165" t="str">
        <f>'M - Aged Debtors'!G7</f>
        <v/>
      </c>
      <c r="LS7" s="828" t="str">
        <f>'M - Aged Debtors'!H7</f>
        <v/>
      </c>
      <c r="LT7" s="828" t="str">
        <f>'M - Aged Debtors'!I7</f>
        <v/>
      </c>
      <c r="LU7" s="829" t="str">
        <f>'M - Aged Debtors'!J7</f>
        <v/>
      </c>
      <c r="LV7" s="1756">
        <f>'M - Aged Debtors'!K7</f>
        <v>0</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2296.9166666666665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v>
      </c>
      <c r="IU8" s="958">
        <f>'H - PSPP'!I8</f>
        <v>-0.95</v>
      </c>
      <c r="IV8" s="1759">
        <f>'H - PSPP'!J8</f>
        <v>0</v>
      </c>
      <c r="IW8" s="958">
        <f>'H - PSPP'!K8</f>
        <v>-0.95</v>
      </c>
      <c r="IX8" s="1759">
        <f>'H - PSPP'!L8</f>
        <v>0.95279999999999998</v>
      </c>
      <c r="IY8" s="958">
        <f>'H - PSPP'!M8</f>
        <v>2.8000000000000247E-3</v>
      </c>
      <c r="IZ8" s="1759">
        <f>'H - PSPP'!N8</f>
        <v>0.95</v>
      </c>
      <c r="JA8" s="958">
        <f>'H - PSPP'!O8</f>
        <v>0</v>
      </c>
      <c r="JB8" s="1744"/>
      <c r="JD8" s="1744"/>
      <c r="JE8" s="1925" t="str">
        <f>'I - Capital RLM'!B8</f>
        <v xml:space="preserve">Approved CRL / CEL issued at : </v>
      </c>
      <c r="JF8" s="1992">
        <f>'I - Capital RLM'!C8</f>
        <v>45232</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2296.9166666666665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33615</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v>
      </c>
      <c r="IU9" s="958">
        <f>'H - PSPP'!I9</f>
        <v>-0.95</v>
      </c>
      <c r="IV9" s="1759">
        <f>'H - PSPP'!J9</f>
        <v>0</v>
      </c>
      <c r="IW9" s="958">
        <f>'H - PSPP'!K9</f>
        <v>-0.95</v>
      </c>
      <c r="IX9" s="1759">
        <f>'H - PSPP'!L9</f>
        <v>0.93789999999999996</v>
      </c>
      <c r="IY9" s="958">
        <f>'H - PSPP'!M9</f>
        <v>-1.21E-2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6486.1922366666668</v>
      </c>
      <c r="CY10" s="1768">
        <f>'B2 - Pay &amp; Agency'!K10</f>
        <v>6512.3851966666671</v>
      </c>
      <c r="CZ10" s="1768">
        <f>'B2 - Pay &amp; Agency'!L10</f>
        <v>6544.2173633333332</v>
      </c>
      <c r="DA10" s="1768">
        <f>'B2 - Pay &amp; Agency'!M10</f>
        <v>6566.3744633333336</v>
      </c>
      <c r="DB10" s="1769">
        <f>'B2 - Pay &amp; Agency'!N10</f>
        <v>6845.3744633333336</v>
      </c>
      <c r="DC10" s="1131">
        <f>'B2 - Pay &amp; Agency'!O10</f>
        <v>46355</v>
      </c>
      <c r="DD10" s="1322">
        <f>'B2 - Pay &amp; Agency'!P10</f>
        <v>79309.543723333336</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29.555903333333337</v>
      </c>
      <c r="DP10" s="1902">
        <f>'B3 - COVID-19'!K10</f>
        <v>25.748863333333336</v>
      </c>
      <c r="DQ10" s="1902">
        <f>'B3 - COVID-19'!L10</f>
        <v>28.636113333333334</v>
      </c>
      <c r="DR10" s="1902">
        <f>'B3 - COVID-19'!M10</f>
        <v>25.793213333333334</v>
      </c>
      <c r="DS10" s="1902">
        <f>'B3 - COVID-19'!N10</f>
        <v>22.793213333333334</v>
      </c>
      <c r="DT10" s="1862">
        <f>'B3 - COVID-19'!O10</f>
        <v>211.77920000000003</v>
      </c>
      <c r="DU10" s="1862">
        <f>'B3 - COVID-19'!P10</f>
        <v>344.30650666666668</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478</v>
      </c>
      <c r="HH10" s="1770">
        <f>'E1 - Invoiced Income'!O10</f>
        <v>2075</v>
      </c>
      <c r="HI10" s="1770">
        <f>'E1 - Invoiced Income'!P10</f>
        <v>196866.80403000003</v>
      </c>
      <c r="HJ10" s="1770">
        <f>'E1 - Invoiced Income'!R10</f>
        <v>190</v>
      </c>
      <c r="HK10" s="1770">
        <f>'E1 - Invoiced Income'!S10</f>
        <v>0</v>
      </c>
      <c r="HL10" s="1658">
        <f>'E1 - Invoiced Income'!T10</f>
        <v>225739.80403000003</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v>
      </c>
      <c r="IU10" s="958">
        <f>'H - PSPP'!I10</f>
        <v>-0.95</v>
      </c>
      <c r="IV10" s="1759">
        <f>'H - PSPP'!J10</f>
        <v>0</v>
      </c>
      <c r="IW10" s="958">
        <f>'H - PSPP'!K10</f>
        <v>-0.95</v>
      </c>
      <c r="IX10" s="1759">
        <f>'H - PSPP'!L10</f>
        <v>0.95879999999999999</v>
      </c>
      <c r="IY10" s="958">
        <f>'H - PSPP'!M10</f>
        <v>8.80000000000003E-3</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120</v>
      </c>
      <c r="D11" s="2036">
        <f>Summary!D11</f>
        <v>4.0000015360419638E-5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1414</v>
      </c>
      <c r="CY11" s="1776">
        <f>'B2 - Pay &amp; Agency'!K11</f>
        <v>1406</v>
      </c>
      <c r="CZ11" s="1776">
        <f>'B2 - Pay &amp; Agency'!L11</f>
        <v>1406</v>
      </c>
      <c r="DA11" s="1776">
        <f>'B2 - Pay &amp; Agency'!M11</f>
        <v>1406</v>
      </c>
      <c r="DB11" s="1777">
        <f>'B2 - Pay &amp; Agency'!N11</f>
        <v>1441</v>
      </c>
      <c r="DC11" s="1323">
        <f>'B2 - Pay &amp; Agency'!O11</f>
        <v>9442</v>
      </c>
      <c r="DD11" s="1324">
        <f>'B2 - Pay &amp; Agency'!P11</f>
        <v>16515</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v>
      </c>
      <c r="IU11" s="958">
        <f>'H - PSPP'!I11</f>
        <v>-0.95</v>
      </c>
      <c r="IV11" s="1759">
        <f>'H - PSPP'!J11</f>
        <v>0</v>
      </c>
      <c r="IW11" s="958">
        <f>'H - PSPP'!K11</f>
        <v>-0.95</v>
      </c>
      <c r="IX11" s="1759">
        <f>'H - PSPP'!L11</f>
        <v>0.96740000000000004</v>
      </c>
      <c r="IY11" s="958">
        <f>'H - PSPP'!M11</f>
        <v>1.7400000000000082E-2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4.0000015360419638E-5</v>
      </c>
      <c r="LI11" s="1612">
        <f>'L - EFL'!E11</f>
        <v>4.0000015360419638E-5</v>
      </c>
      <c r="LJ11" s="1778">
        <f>'L - EFL'!F11</f>
        <v>120</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-19609.333333333332</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542.92166666666662</v>
      </c>
      <c r="CY12" s="1776">
        <f>'B2 - Pay &amp; Agency'!K12</f>
        <v>542.92166666666662</v>
      </c>
      <c r="CZ12" s="1776">
        <f>'B2 - Pay &amp; Agency'!L12</f>
        <v>542.92166666666662</v>
      </c>
      <c r="DA12" s="1776">
        <f>'B2 - Pay &amp; Agency'!M12</f>
        <v>513.92166666666662</v>
      </c>
      <c r="DB12" s="1777">
        <f>'B2 - Pay &amp; Agency'!N12</f>
        <v>513.92166666666662</v>
      </c>
      <c r="DC12" s="1323">
        <f>'B2 - Pay &amp; Agency'!O12</f>
        <v>3665</v>
      </c>
      <c r="DD12" s="1324">
        <f>'B2 - Pay &amp; Agency'!P12</f>
        <v>6321.6083333333354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6722</v>
      </c>
      <c r="LI12" s="1612">
        <f>'L - EFL'!E12</f>
        <v>499</v>
      </c>
      <c r="LJ12" s="1778">
        <f>'L - EFL'!F12</f>
        <v>3922</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-8972.6912089240068</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1994</v>
      </c>
      <c r="BP13" s="1782">
        <f>'B - Monthly Positions'!L13</f>
        <v>1994</v>
      </c>
      <c r="BQ13" s="1782">
        <f>'B - Monthly Positions'!M13</f>
        <v>1994</v>
      </c>
      <c r="BR13" s="1782">
        <f>'B - Monthly Positions'!N13</f>
        <v>1994</v>
      </c>
      <c r="BS13" s="1785">
        <f>'B - Monthly Positions'!O13</f>
        <v>1995</v>
      </c>
      <c r="BT13" s="1781">
        <f>'B - Monthly Positions'!P13</f>
        <v>14487</v>
      </c>
      <c r="BU13" s="1781">
        <f>'B - Monthly Positions'!Q13</f>
        <v>24458</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499</v>
      </c>
      <c r="HJ13" s="1770">
        <f>'E1 - Invoiced Income'!R13</f>
        <v>0</v>
      </c>
      <c r="HK13" s="1770">
        <f>'E1 - Invoiced Income'!S13</f>
        <v>0</v>
      </c>
      <c r="HL13" s="1661">
        <f>'E1 - Invoiced Income'!T13</f>
        <v>499</v>
      </c>
      <c r="HM13" s="1791" t="str">
        <f>'E1 - Invoiced Income'!U13</f>
        <v>As confirmed on non-cash submission 25-08-2023</v>
      </c>
      <c r="HO13" s="2083">
        <f>'F - SoFP'!A13</f>
        <v>5</v>
      </c>
      <c r="HP13" s="2084" t="str">
        <f>'F - SoFP'!B13</f>
        <v xml:space="preserve">Non-Current Assets sub total </v>
      </c>
      <c r="HQ13" s="2036">
        <f>'F - SoFP'!C13</f>
        <v>37978</v>
      </c>
      <c r="HR13" s="2036">
        <f>'F - SoFP'!D13</f>
        <v>34484</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19817.84</v>
      </c>
      <c r="IF13" s="2053">
        <f>'G - Cash Flow'!K13</f>
        <v>19817.84</v>
      </c>
      <c r="IG13" s="2053">
        <f>'G - Cash Flow'!L13</f>
        <v>19817.84</v>
      </c>
      <c r="IH13" s="2053">
        <f>'G - Cash Flow'!M13</f>
        <v>19817.84</v>
      </c>
      <c r="II13" s="2053">
        <f>'G - Cash Flow'!N13</f>
        <v>19817.84</v>
      </c>
      <c r="IJ13" s="2054">
        <f>'G - Cash Flow'!O13</f>
        <v>212560.85516999997</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0</v>
      </c>
      <c r="KD13" s="2009">
        <f>'J - Capital In Year Schemes'!N13</f>
        <v>16</v>
      </c>
      <c r="KE13" s="2009">
        <f>'J - Capital In Year Schemes'!O13</f>
        <v>0</v>
      </c>
      <c r="KF13" s="2009">
        <f>'J - Capital In Year Schemes'!P13</f>
        <v>0</v>
      </c>
      <c r="KG13" s="2009">
        <f>'J - Capital In Year Schemes'!Q13</f>
        <v>0</v>
      </c>
      <c r="KH13" s="2089">
        <f>'J - Capital In Year Schemes'!R13</f>
        <v>18.642100000000003</v>
      </c>
      <c r="KI13" s="2089">
        <f>'J - Capital In Year Schemes'!S13</f>
        <v>34.642099999999999</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82.04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17312.416666666672</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134</v>
      </c>
      <c r="BU14" s="1781">
        <f>'B - Monthly Positions'!Q14</f>
        <v>224</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311.62175000000002</v>
      </c>
      <c r="CY14" s="1776">
        <f>'B2 - Pay &amp; Agency'!K14</f>
        <v>311.62175000000002</v>
      </c>
      <c r="CZ14" s="1776">
        <f>'B2 - Pay &amp; Agency'!L14</f>
        <v>311.62175000000002</v>
      </c>
      <c r="DA14" s="1776">
        <f>'B2 - Pay &amp; Agency'!M14</f>
        <v>311.62175000000002</v>
      </c>
      <c r="DB14" s="1777">
        <f>'B2 - Pay &amp; Agency'!N14</f>
        <v>311.62175000000002</v>
      </c>
      <c r="DC14" s="1323">
        <f>'B2 - Pay &amp; Agency'!O14</f>
        <v>2318</v>
      </c>
      <c r="DD14" s="1324">
        <f>'B2 - Pay &amp; Agency'!P14</f>
        <v>3876.1087500000012</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2.62175</v>
      </c>
      <c r="DP14" s="1902">
        <f>'B3 - COVID-19'!K14</f>
        <v>2.62175</v>
      </c>
      <c r="DQ14" s="1902">
        <f>'B3 - COVID-19'!L14</f>
        <v>2.62175</v>
      </c>
      <c r="DR14" s="1902">
        <f>'B3 - COVID-19'!M14</f>
        <v>2.62175</v>
      </c>
      <c r="DS14" s="1902">
        <f>'B3 - COVID-19'!N14</f>
        <v>2.62175</v>
      </c>
      <c r="DT14" s="1862">
        <f>'B3 - COVID-19'!O14</f>
        <v>20.963700000000003</v>
      </c>
      <c r="DU14" s="1862">
        <f>'B3 - COVID-19'!P14</f>
        <v>34.072449999999996</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2296.9166666666665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v>
      </c>
      <c r="KD14" s="2009">
        <f>'J - Capital In Year Schemes'!N14</f>
        <v>35</v>
      </c>
      <c r="KE14" s="2009">
        <f>'J - Capital In Year Schemes'!O14</f>
        <v>35</v>
      </c>
      <c r="KF14" s="2009">
        <f>'J - Capital In Year Schemes'!P14</f>
        <v>35</v>
      </c>
      <c r="KG14" s="2009">
        <f>'J - Capital In Year Schemes'!Q14</f>
        <v>35.4</v>
      </c>
      <c r="KH14" s="2089">
        <f>'J - Capital In Year Schemes'!R14</f>
        <v>10.853060000000001</v>
      </c>
      <c r="KI14" s="2089">
        <f>'J - Capital In Year Schemes'!S14</f>
        <v>186.25306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8972.6910189240061</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18415.223663333334</v>
      </c>
      <c r="BP15" s="1782">
        <f>'B - Monthly Positions'!L15</f>
        <v>18274.598436666667</v>
      </c>
      <c r="BQ15" s="1782">
        <f>'B - Monthly Positions'!M15</f>
        <v>18013.784526666666</v>
      </c>
      <c r="BR15" s="1782">
        <f>'B - Monthly Positions'!N15</f>
        <v>18159.388766666667</v>
      </c>
      <c r="BS15" s="1785">
        <f>'B - Monthly Positions'!O15</f>
        <v>21313.941636666666</v>
      </c>
      <c r="BT15" s="1781">
        <f>'B - Monthly Positions'!P15</f>
        <v>118383</v>
      </c>
      <c r="BU15" s="1781">
        <f>'B - Monthly Positions'!Q15</f>
        <v>212559.93703000003</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1181</v>
      </c>
      <c r="CY15" s="1776">
        <f>'B2 - Pay &amp; Agency'!K15</f>
        <v>1181</v>
      </c>
      <c r="CZ15" s="1776">
        <f>'B2 - Pay &amp; Agency'!L15</f>
        <v>1185</v>
      </c>
      <c r="DA15" s="1776">
        <f>'B2 - Pay &amp; Agency'!M15</f>
        <v>1182</v>
      </c>
      <c r="DB15" s="1777">
        <f>'B2 - Pay &amp; Agency'!N15</f>
        <v>1182</v>
      </c>
      <c r="DC15" s="1323">
        <f>'B2 - Pay &amp; Agency'!O15</f>
        <v>7398</v>
      </c>
      <c r="DD15" s="1324">
        <f>'B2 - Pay &amp; Agency'!P15</f>
        <v>13309</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2296.9166666666665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2328</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1724.9739999999999</v>
      </c>
      <c r="IF15" s="2053">
        <f>'G - Cash Flow'!K15</f>
        <v>1724.9739999999999</v>
      </c>
      <c r="IG15" s="2053">
        <f>'G - Cash Flow'!L15</f>
        <v>1724.9739999999999</v>
      </c>
      <c r="IH15" s="2053">
        <f>'G - Cash Flow'!M15</f>
        <v>1724.9739999999999</v>
      </c>
      <c r="II15" s="2053">
        <f>'G - Cash Flow'!N15</f>
        <v>1724.9739999999999</v>
      </c>
      <c r="IJ15" s="2054">
        <f>'G - Cash Flow'!O15</f>
        <v>24458.001339999992</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162</v>
      </c>
      <c r="KE15" s="2009">
        <f>'J - Capital In Year Schemes'!O15</f>
        <v>0</v>
      </c>
      <c r="KF15" s="2009">
        <f>'J - Capital In Year Schemes'!P15</f>
        <v>0</v>
      </c>
      <c r="KG15" s="2009">
        <f>'J - Capital In Year Schemes'!Q15</f>
        <v>0</v>
      </c>
      <c r="KH15" s="2089">
        <f>'J - Capital In Year Schemes'!R15</f>
        <v>177.75447</v>
      </c>
      <c r="KI15" s="2089">
        <f>'J - Capital In Year Schemes'!S15</f>
        <v>339.75446999999997</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462</v>
      </c>
      <c r="BP16" s="1800">
        <f>'B - Monthly Positions'!L16</f>
        <v>462</v>
      </c>
      <c r="BQ16" s="1800">
        <f>'B - Monthly Positions'!M16</f>
        <v>460</v>
      </c>
      <c r="BR16" s="1800">
        <f>'B - Monthly Positions'!N16</f>
        <v>457</v>
      </c>
      <c r="BS16" s="2109">
        <f>'B - Monthly Positions'!O16</f>
        <v>457</v>
      </c>
      <c r="BT16" s="1799">
        <f>'B - Monthly Positions'!P16</f>
        <v>3903</v>
      </c>
      <c r="BU16" s="1799">
        <f>'B - Monthly Positions'!Q16</f>
        <v>6201</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1641.0209199999999</v>
      </c>
      <c r="CY16" s="1776">
        <f>'B2 - Pay &amp; Agency'!K16</f>
        <v>1635.6025033333333</v>
      </c>
      <c r="CZ16" s="1776">
        <f>'B2 - Pay &amp; Agency'!L16</f>
        <v>1635.6025033333333</v>
      </c>
      <c r="DA16" s="1776">
        <f>'B2 - Pay &amp; Agency'!M16</f>
        <v>1635.6025033333333</v>
      </c>
      <c r="DB16" s="1777">
        <f>'B2 - Pay &amp; Agency'!N16</f>
        <v>1652.6025033333333</v>
      </c>
      <c r="DC16" s="1323">
        <f>'B2 - Pay &amp; Agency'!O16</f>
        <v>12026</v>
      </c>
      <c r="DD16" s="1324">
        <f>'B2 - Pay &amp; Agency'!P16</f>
        <v>20226.430933333329</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29.772086666666663</v>
      </c>
      <c r="DP16" s="1902">
        <f>'B3 - COVID-19'!K16</f>
        <v>29.772086666666663</v>
      </c>
      <c r="DQ16" s="1902">
        <f>'B3 - COVID-19'!L16</f>
        <v>29.772086666666663</v>
      </c>
      <c r="DR16" s="1902">
        <f>'B3 - COVID-19'!M16</f>
        <v>29.772086666666663</v>
      </c>
      <c r="DS16" s="1902">
        <f>'B3 - COVID-19'!N16</f>
        <v>29.772086666666663</v>
      </c>
      <c r="DT16" s="1862">
        <f>'B3 - COVID-19'!O16</f>
        <v>211.45232999999999</v>
      </c>
      <c r="DU16" s="1862">
        <f>'B3 - COVID-19'!P16</f>
        <v>360.31276333333329</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49425</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20889.223663333334</v>
      </c>
      <c r="BP17" s="1109">
        <f>'B - Monthly Positions'!L17</f>
        <v>20748.598436666667</v>
      </c>
      <c r="BQ17" s="1109">
        <f>'B - Monthly Positions'!M17</f>
        <v>20485.784526666666</v>
      </c>
      <c r="BR17" s="1109">
        <f>'B - Monthly Positions'!N17</f>
        <v>20628.388766666667</v>
      </c>
      <c r="BS17" s="1109">
        <f>'B - Monthly Positions'!O17</f>
        <v>23783.941636666666</v>
      </c>
      <c r="BT17" s="1109">
        <f>'B - Monthly Positions'!P17</f>
        <v>136907</v>
      </c>
      <c r="BU17" s="1109">
        <f>'B - Monthly Positions'!Q17</f>
        <v>243442.93703000003</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2</v>
      </c>
      <c r="CY17" s="1776">
        <f>'B2 - Pay &amp; Agency'!K17</f>
        <v>2</v>
      </c>
      <c r="CZ17" s="1776">
        <f>'B2 - Pay &amp; Agency'!L17</f>
        <v>2</v>
      </c>
      <c r="DA17" s="1776">
        <f>'B2 - Pay &amp; Agency'!M17</f>
        <v>2</v>
      </c>
      <c r="DB17" s="1777">
        <f>'B2 - Pay &amp; Agency'!N17</f>
        <v>2</v>
      </c>
      <c r="DC17" s="1323">
        <f>'B2 - Pay &amp; Agency'!O17</f>
        <v>17</v>
      </c>
      <c r="DD17" s="1324">
        <f>'B2 - Pay &amp; Agency'!P17</f>
        <v>27</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2296.9166666666665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15264</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76.858142857142852</v>
      </c>
      <c r="IF18" s="2053">
        <f>'G - Cash Flow'!K18</f>
        <v>76.858142857142852</v>
      </c>
      <c r="IG18" s="2053">
        <f>'G - Cash Flow'!L18</f>
        <v>76.858142857142852</v>
      </c>
      <c r="IH18" s="2053">
        <f>'G - Cash Flow'!M18</f>
        <v>76.858142857142852</v>
      </c>
      <c r="II18" s="2053">
        <f>'G - Cash Flow'!N18</f>
        <v>76.858142857142852</v>
      </c>
      <c r="IJ18" s="2054">
        <f>'G - Cash Flow'!O18</f>
        <v>922.29771428571428</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v>
      </c>
      <c r="IU18" s="959"/>
      <c r="IV18" s="1759">
        <f>'H - PSPP'!J18</f>
        <v>0</v>
      </c>
      <c r="IW18" s="959"/>
      <c r="IX18" s="1759">
        <f>'H - PSPP'!L18</f>
        <v>0.3266</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11578.756573333332</v>
      </c>
      <c r="CY19" s="1341">
        <f>'B2 - Pay &amp; Agency'!K19</f>
        <v>11591.531116666667</v>
      </c>
      <c r="CZ19" s="1341">
        <f>'B2 - Pay &amp; Agency'!L19</f>
        <v>11627.363283333334</v>
      </c>
      <c r="DA19" s="1341">
        <f>'B2 - Pay &amp; Agency'!M19</f>
        <v>11617.520383333334</v>
      </c>
      <c r="DB19" s="1342">
        <f>'B2 - Pay &amp; Agency'!N19</f>
        <v>11948.520383333334</v>
      </c>
      <c r="DC19" s="1343">
        <f>'B2 - Pay &amp; Agency'!O19</f>
        <v>81221</v>
      </c>
      <c r="DD19" s="1344">
        <f>'B2 - Pay &amp; Agency'!P19</f>
        <v>139584.69174000001</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61.949740000000006</v>
      </c>
      <c r="DP19" s="1907">
        <f>'B3 - COVID-19'!K19</f>
        <v>58.142699999999998</v>
      </c>
      <c r="DQ19" s="1907">
        <f>'B3 - COVID-19'!L19</f>
        <v>61.029949999999999</v>
      </c>
      <c r="DR19" s="1907">
        <f>'B3 - COVID-19'!M19</f>
        <v>58.187049999999999</v>
      </c>
      <c r="DS19" s="1907">
        <f>'B3 - COVID-19'!N19</f>
        <v>55.187049999999999</v>
      </c>
      <c r="DT19" s="1907">
        <f>'B3 - COVID-19'!O19</f>
        <v>444.19523000000004</v>
      </c>
      <c r="DU19" s="1907">
        <f>'B3 - COVID-19'!P19</f>
        <v>738.69172000000003</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v>
      </c>
      <c r="IU19" s="959"/>
      <c r="IV19" s="1759">
        <f>'H - PSPP'!J19</f>
        <v>0</v>
      </c>
      <c r="IW19" s="959"/>
      <c r="IX19" s="1759">
        <f>'H - PSPP'!L19</f>
        <v>0.45779999999999998</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11578.756573333334</v>
      </c>
      <c r="BP20" s="1782">
        <f>'B - Monthly Positions'!L20</f>
        <v>11591.531116666667</v>
      </c>
      <c r="BQ20" s="1782">
        <f>'B - Monthly Positions'!M20</f>
        <v>11627.363283333334</v>
      </c>
      <c r="BR20" s="1782">
        <f>'B - Monthly Positions'!N20</f>
        <v>11617.520383333334</v>
      </c>
      <c r="BS20" s="1782">
        <f>'B - Monthly Positions'!O20</f>
        <v>11948.520383333334</v>
      </c>
      <c r="BT20" s="1781">
        <f>'B - Monthly Positions'!P20</f>
        <v>81221</v>
      </c>
      <c r="BU20" s="1781">
        <f>'B - Monthly Positions'!Q20</f>
        <v>139584.69174000001</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1131.4166666666665</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67017</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258.12200000000001</v>
      </c>
      <c r="IF20" s="2053">
        <f>'G - Cash Flow'!K20</f>
        <v>258.12200000000001</v>
      </c>
      <c r="IG20" s="2053">
        <f>'G - Cash Flow'!L20</f>
        <v>258.12200000000001</v>
      </c>
      <c r="IH20" s="2053">
        <f>'G - Cash Flow'!M20</f>
        <v>258.12200000000001</v>
      </c>
      <c r="II20" s="2053">
        <f>'G - Cash Flow'!N20</f>
        <v>629.30899999999997</v>
      </c>
      <c r="IJ20" s="2054">
        <f>'G - Cash Flow'!O20</f>
        <v>5886.890330000002</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v>
      </c>
      <c r="IU20" s="959"/>
      <c r="IV20" s="1759">
        <f>'H - PSPP'!J20</f>
        <v>0</v>
      </c>
      <c r="IW20" s="959"/>
      <c r="IX20" s="1759">
        <f>'H - PSPP'!L20</f>
        <v>0.75029999999999997</v>
      </c>
      <c r="IY20" s="959"/>
      <c r="IZ20" s="1759">
        <f>'H - PSPP'!N20</f>
        <v>0.7</v>
      </c>
      <c r="JA20" s="959"/>
      <c r="JB20" s="1744"/>
      <c r="JD20" s="2087">
        <f>'I - Capital RLM'!A20</f>
        <v>2</v>
      </c>
      <c r="JE20" s="2125" t="str">
        <f>'I - Capital RLM'!B20</f>
        <v xml:space="preserve">Screening Equipment Replacement (BTW Imaging Equip) </v>
      </c>
      <c r="JF20" s="2009">
        <f>'I - Capital RLM'!C20</f>
        <v>18.64245</v>
      </c>
      <c r="JG20" s="2009">
        <f>'I - Capital RLM'!D20</f>
        <v>18.64245</v>
      </c>
      <c r="JH20" s="2117">
        <f>'I - Capital RLM'!E20</f>
        <v>0</v>
      </c>
      <c r="JI20" s="2118">
        <f>'I - Capital RLM'!F20</f>
        <v>0</v>
      </c>
      <c r="JJ20" s="2009">
        <f>'I - Capital RLM'!G20</f>
        <v>35</v>
      </c>
      <c r="JK20" s="2009">
        <f>'I - Capital RLM'!H20</f>
        <v>35</v>
      </c>
      <c r="JL20" s="2117">
        <f>'I - Capital RLM'!I20</f>
        <v>0</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160</v>
      </c>
      <c r="JU20" s="2009">
        <f>'J - Capital In Year Schemes'!E20</f>
        <v>160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50</v>
      </c>
      <c r="KE20" s="2009">
        <f>'J - Capital In Year Schemes'!O20</f>
        <v>0</v>
      </c>
      <c r="KF20" s="2009">
        <f>'J - Capital In Year Schemes'!P20</f>
        <v>47</v>
      </c>
      <c r="KG20" s="2009">
        <f>'J - Capital In Year Schemes'!Q20</f>
        <v>63.4</v>
      </c>
      <c r="KH20" s="2089">
        <f>'J - Capital In Year Schemes'!R20</f>
        <v>0</v>
      </c>
      <c r="KI20" s="2089">
        <f>'J - Capital In Year Schemes'!S20</f>
        <v>160.4</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-1954</v>
      </c>
      <c r="LH20" s="1778">
        <f>'L - EFL'!D20</f>
        <v>-1953.9995199999998</v>
      </c>
      <c r="LI20" s="1612">
        <f>'L - EFL'!E20</f>
        <v>4.8000000015235855E-4</v>
      </c>
      <c r="LJ20" s="1778">
        <f>'L - EFL'!F20</f>
        <v>-327.76188000000002</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8738.5770899999989</v>
      </c>
      <c r="BP21" s="1781">
        <f>'B - Monthly Positions'!L21</f>
        <v>8585.1773199999989</v>
      </c>
      <c r="BQ21" s="1781">
        <f>'B - Monthly Positions'!M21</f>
        <v>8286.5312433333329</v>
      </c>
      <c r="BR21" s="1781">
        <f>'B - Monthly Positions'!N21</f>
        <v>8438.9783833333331</v>
      </c>
      <c r="BS21" s="1781">
        <f>'B - Monthly Positions'!O21</f>
        <v>11383.831253333334</v>
      </c>
      <c r="BT21" s="1781">
        <f>'B - Monthly Positions'!P21</f>
        <v>51562.159</v>
      </c>
      <c r="BU21" s="1781">
        <f>'B - Monthly Positions'!Q21</f>
        <v>96995.254289999997</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1131.4166666666665</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275</v>
      </c>
      <c r="FX21" s="2068">
        <f>'D - Welsh NHS Assumptions'!D21</f>
        <v>203</v>
      </c>
      <c r="FY21" s="2047">
        <f>'D - Welsh NHS Assumptions'!E21</f>
        <v>478</v>
      </c>
      <c r="FZ21" s="1744"/>
      <c r="GA21" s="2068">
        <f>'D - Welsh NHS Assumptions'!G21</f>
        <v>1321</v>
      </c>
      <c r="GB21" s="2068">
        <f>'D - Welsh NHS Assumptions'!H21</f>
        <v>924</v>
      </c>
      <c r="GC21" s="2047">
        <f>'D - Welsh NHS Assumptions'!I21</f>
        <v>2245</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21877.794142857139</v>
      </c>
      <c r="IF21" s="2129">
        <f>'G - Cash Flow'!K21</f>
        <v>21877.794142857139</v>
      </c>
      <c r="IG21" s="2129">
        <f>'G - Cash Flow'!L21</f>
        <v>21877.794142857139</v>
      </c>
      <c r="IH21" s="2129">
        <f>'G - Cash Flow'!M21</f>
        <v>21877.794142857139</v>
      </c>
      <c r="II21" s="2129">
        <f>'G - Cash Flow'!N21</f>
        <v>22248.981142857141</v>
      </c>
      <c r="IJ21" s="2129">
        <f>'G - Cash Flow'!O21</f>
        <v>243828.04455428568</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v>
      </c>
      <c r="IU21" s="960"/>
      <c r="IV21" s="1759">
        <f>'H - PSPP'!J21</f>
        <v>0</v>
      </c>
      <c r="IW21" s="960"/>
      <c r="IX21" s="1759">
        <f>'H - PSPP'!L21</f>
        <v>0.72689999999999999</v>
      </c>
      <c r="IY21" s="960"/>
      <c r="IZ21" s="1759">
        <f>'H - PSPP'!N21</f>
        <v>0.7</v>
      </c>
      <c r="JA21" s="960"/>
      <c r="JB21" s="1744"/>
      <c r="JD21" s="2087">
        <f>'I - Capital RLM'!A21</f>
        <v>3</v>
      </c>
      <c r="JE21" s="2125" t="str">
        <f>'I - Capital RLM'!B21</f>
        <v>(EFAB) - Fire Compliance Works</v>
      </c>
      <c r="JF21" s="2009">
        <f>'I - Capital RLM'!C21</f>
        <v>10.853059999999999</v>
      </c>
      <c r="JG21" s="2009">
        <f>'I - Capital RLM'!D21</f>
        <v>10.853059999999999</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1165.5</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7125.2929999999997</v>
      </c>
      <c r="HJ22" s="1797">
        <f>'E1 - Invoiced Income'!R22</f>
        <v>0</v>
      </c>
      <c r="HK22" s="1797">
        <f>'E1 - Invoiced Income'!S22</f>
        <v>0</v>
      </c>
      <c r="HL22" s="1664">
        <f>'E1 - Invoiced Income'!T22</f>
        <v>7125.2929999999997</v>
      </c>
      <c r="HM22" s="2595" t="str">
        <f>'E1 - Invoiced Income'!U22</f>
        <v>See below analysis</v>
      </c>
      <c r="HO22" s="2083">
        <f>'F - SoFP'!A22</f>
        <v>12</v>
      </c>
      <c r="HP22" s="2130" t="str">
        <f>'F - SoFP'!B22</f>
        <v>TOTAL ASSETS</v>
      </c>
      <c r="HQ22" s="2036">
        <f>'F - SoFP'!C22</f>
        <v>76561</v>
      </c>
      <c r="HR22" s="2025">
        <f>'F - SoFP'!D22</f>
        <v>101501</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177.75447</v>
      </c>
      <c r="JG22" s="2009">
        <f>'I - Capital RLM'!D22</f>
        <v>177.75447</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895.26024000000007</v>
      </c>
      <c r="DP23" s="1329">
        <f>'B3 - COVID-19'!K23</f>
        <v>933.86047000000008</v>
      </c>
      <c r="DQ23" s="1329">
        <f>'B3 - COVID-19'!L23</f>
        <v>988.61047000000008</v>
      </c>
      <c r="DR23" s="1329">
        <f>'B3 - COVID-19'!M23</f>
        <v>918.05760999999995</v>
      </c>
      <c r="DS23" s="1329">
        <f>'B3 - COVID-19'!N23</f>
        <v>947.61048000000005</v>
      </c>
      <c r="DT23" s="1862">
        <f>'B3 - COVID-19'!O23</f>
        <v>5606.3308400000005</v>
      </c>
      <c r="DU23" s="1862">
        <f>'B3 - COVID-19'!P23</f>
        <v>10289.730109999999</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1165.5</v>
      </c>
      <c r="EO23" s="939">
        <f>'C, C1, C2&amp; C3 - Savings Schemes'!Q23</f>
        <v>1758</v>
      </c>
      <c r="EP23" s="1166">
        <f>'C, C1, C2&amp; C3 - Savings Schemes'!R23</f>
        <v>0.66296928327645055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-164</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-1.8999999474544893E-4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11578.756573333334</v>
      </c>
      <c r="CY24" s="1569">
        <f>'B2 - Pay &amp; Agency'!K24</f>
        <v>11591.531116666667</v>
      </c>
      <c r="CZ24" s="1569">
        <f>'B2 - Pay &amp; Agency'!L24</f>
        <v>11627.363283333334</v>
      </c>
      <c r="DA24" s="1569">
        <f>'B2 - Pay &amp; Agency'!M24</f>
        <v>11617.520383333334</v>
      </c>
      <c r="DB24" s="1569">
        <f>'B2 - Pay &amp; Agency'!N24</f>
        <v>11948.520383333334</v>
      </c>
      <c r="DC24" s="1131">
        <f>'B2 - Pay &amp; Agency'!O24</f>
        <v>81221</v>
      </c>
      <c r="DD24" s="1322">
        <f>'B2 - Pay &amp; Agency'!P24</f>
        <v>139584.69174000001</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40.012999999999998</v>
      </c>
      <c r="DP24" s="1329">
        <f>'B3 - COVID-19'!K24</f>
        <v>40.012999999999998</v>
      </c>
      <c r="DQ24" s="1329">
        <f>'B3 - COVID-19'!L24</f>
        <v>40.012999999999998</v>
      </c>
      <c r="DR24" s="1329">
        <f>'B3 - COVID-19'!M24</f>
        <v>40.012999999999998</v>
      </c>
      <c r="DS24" s="1329">
        <f>'B3 - COVID-19'!N24</f>
        <v>40.012999999999998</v>
      </c>
      <c r="DT24" s="1862">
        <f>'B3 - COVID-19'!O24</f>
        <v>27.875</v>
      </c>
      <c r="DU24" s="1862">
        <f>'B3 - COVID-19'!P24</f>
        <v>227.94000000000003</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-28575</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0</v>
      </c>
      <c r="DP25" s="1329">
        <f>'B3 - COVID-19'!K25</f>
        <v>0</v>
      </c>
      <c r="DQ25" s="1329">
        <f>'B3 - COVID-19'!L25</f>
        <v>0</v>
      </c>
      <c r="DR25" s="1329">
        <f>'B3 - COVID-19'!M25</f>
        <v>0</v>
      </c>
      <c r="DS25" s="1329">
        <f>'B3 - COVID-19'!N25</f>
        <v>50</v>
      </c>
      <c r="DT25" s="1862">
        <f>'B3 - COVID-19'!O25</f>
        <v>47.095999999999997</v>
      </c>
      <c r="DU25" s="1862">
        <f>'B3 - COVID-19'!P25</f>
        <v>97.096000000000004</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1131.4166666666665</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55901</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25118</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11578.756573333334</v>
      </c>
      <c r="CY26" s="1345">
        <f>'B2 - Pay &amp; Agency'!K26</f>
        <v>11591.531116666667</v>
      </c>
      <c r="CZ26" s="1345">
        <f>'B2 - Pay &amp; Agency'!L26</f>
        <v>11627.363283333334</v>
      </c>
      <c r="DA26" s="1345">
        <f>'B2 - Pay &amp; Agency'!M26</f>
        <v>11617.520383333334</v>
      </c>
      <c r="DB26" s="1344">
        <f>'B2 - Pay &amp; Agency'!N26</f>
        <v>11948.520383333334</v>
      </c>
      <c r="DC26" s="1343">
        <f>'B2 - Pay &amp; Agency'!O26</f>
        <v>81221</v>
      </c>
      <c r="DD26" s="1344">
        <f>'B2 - Pay &amp; Agency'!P26</f>
        <v>139584.69174000001</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1131.4166666666665</v>
      </c>
      <c r="EO26" s="939">
        <f>'C, C1, C2&amp; C3 - Savings Schemes'!Q26</f>
        <v>1416.0000000000002</v>
      </c>
      <c r="EP26" s="1166">
        <f>'C, C1, C2&amp; C3 - Savings Schemes'!R26</f>
        <v>0.79902306967984915</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20268</v>
      </c>
      <c r="FX27" s="2047">
        <f>'D - Welsh NHS Assumptions'!D27</f>
        <v>8605</v>
      </c>
      <c r="FY27" s="2047">
        <f>'D - Welsh NHS Assumptions'!E27</f>
        <v>28873</v>
      </c>
      <c r="FZ27" s="1744"/>
      <c r="GA27" s="2047">
        <f>'D - Welsh NHS Assumptions'!G27</f>
        <v>16911</v>
      </c>
      <c r="GB27" s="2047">
        <f>'D - Welsh NHS Assumptions'!H27</f>
        <v>23096</v>
      </c>
      <c r="GC27" s="2047">
        <f>'D - Welsh NHS Assumptions'!I27</f>
        <v>40007</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37</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-1131.4166666666665</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t="str">
        <f>'E1 - Invoiced Income'!B28</f>
        <v>2023-24 M&amp;D 5% pay award (actuals to date plus forecast for remainder of year)</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237</v>
      </c>
      <c r="HJ28" s="1797">
        <f>'E1 - Invoiced Income'!R28</f>
        <v>0</v>
      </c>
      <c r="HK28" s="1797">
        <f>'E1 - Invoiced Income'!S28</f>
        <v>0</v>
      </c>
      <c r="HL28" s="1664">
        <f>'E1 - Invoiced Income'!T28</f>
        <v>237</v>
      </c>
      <c r="HM28" s="1798" t="str">
        <f>'E1 - Invoiced Income'!U28</f>
        <v>M&amp;D(W) 06/2023 Pay Circular</v>
      </c>
      <c r="HO28" s="2006">
        <f>'F - SoFP'!A28</f>
        <v>16</v>
      </c>
      <c r="HP28" s="2007" t="str">
        <f>'F - SoFP'!B28</f>
        <v>Provisions</v>
      </c>
      <c r="HQ28" s="2008">
        <f>'F - SoFP'!C28</f>
        <v>2399</v>
      </c>
      <c r="HR28" s="2009">
        <f>'F - SoFP'!D28</f>
        <v>5673</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11810.096</v>
      </c>
      <c r="IF28" s="2063">
        <f>'G - Cash Flow'!K28</f>
        <v>11810.096</v>
      </c>
      <c r="IG28" s="2063">
        <f>'G - Cash Flow'!L28</f>
        <v>11810.096</v>
      </c>
      <c r="IH28" s="2063">
        <f>'G - Cash Flow'!M28</f>
        <v>11810.096</v>
      </c>
      <c r="II28" s="2063">
        <f>'G - Cash Flow'!N28</f>
        <v>11808.096</v>
      </c>
      <c r="IJ28" s="2149">
        <f>'G - Cash Flow'!O28</f>
        <v>138756.39750000002</v>
      </c>
      <c r="IK28" s="1941"/>
      <c r="JD28" s="2087">
        <f>'I - Capital RLM'!A28</f>
        <v>10</v>
      </c>
      <c r="JE28" s="2125" t="str">
        <f>'I - Capital RLM'!B28</f>
        <v>NHS Executive - ICT Equipment</v>
      </c>
      <c r="JF28" s="2009">
        <f>'I - Capital RLM'!C28</f>
        <v>0</v>
      </c>
      <c r="JG28" s="2009">
        <f>'I - Capital RLM'!D28</f>
        <v>0</v>
      </c>
      <c r="JH28" s="2117">
        <f>'I - Capital RLM'!E28</f>
        <v>0</v>
      </c>
      <c r="JI28" s="2118">
        <f>'I - Capital RLM'!F28</f>
        <v>0</v>
      </c>
      <c r="JJ28" s="2009">
        <f>'I - Capital RLM'!G28</f>
        <v>160</v>
      </c>
      <c r="JK28" s="2009">
        <f>'I - Capital RLM'!H28</f>
        <v>160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-3584</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63774</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8415.0069999999996</v>
      </c>
      <c r="IF29" s="2063">
        <f>'G - Cash Flow'!K29</f>
        <v>8415.0069999999996</v>
      </c>
      <c r="IG29" s="2063">
        <f>'G - Cash Flow'!L29</f>
        <v>8415.0069999999996</v>
      </c>
      <c r="IH29" s="2063">
        <f>'G - Cash Flow'!M29</f>
        <v>8415.0069999999996</v>
      </c>
      <c r="II29" s="2063">
        <f>'G - Cash Flow'!N29</f>
        <v>11656.007</v>
      </c>
      <c r="IJ29" s="2149">
        <f>'G - Cash Flow'!O29</f>
        <v>99614.613209999996</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2824</v>
      </c>
      <c r="LH29" s="2174">
        <f>'L - EFL'!D29</f>
        <v>3463.8405200000161</v>
      </c>
      <c r="LI29" s="2175">
        <f>'L - EFL'!E29</f>
        <v>639.84052000001554</v>
      </c>
      <c r="LJ29" s="2174">
        <f>'L - EFL'!F29</f>
        <v>212.27811999999903</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2296.9166666666665</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37727</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3463.8405200000161</v>
      </c>
      <c r="IJ31" s="2149">
        <f>'G - Cash Flow'!O31</f>
        <v>3463.8405200000161</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-2824</v>
      </c>
      <c r="LH31" s="1778">
        <f>'L - EFL'!D31</f>
        <v>-3463.8405200000161</v>
      </c>
      <c r="LI31" s="1612">
        <f>'L - EFL'!E31</f>
        <v>-639.84052000001611</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-4191.2905509760021</v>
      </c>
      <c r="P32" s="1130">
        <f>'A - Movement'!D32</f>
        <v>-4191.2905509760021</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-259.74471250826878</v>
      </c>
      <c r="AE32" s="1130">
        <f>'A - Movement'!R32</f>
        <v>-754.70690198581724</v>
      </c>
      <c r="AF32" s="1130">
        <f>'A - Movement'!S32</f>
        <v>-185.9634203191506</v>
      </c>
      <c r="AG32" s="1130">
        <f>'A - Movement'!T32</f>
        <v>-207.3341880307205</v>
      </c>
      <c r="AH32" s="1130">
        <f>'A - Movement'!U32</f>
        <v>-649.62253920803914</v>
      </c>
      <c r="AI32" s="1130">
        <f>'A - Movement'!V32</f>
        <v>-2133.9187889240047</v>
      </c>
      <c r="AJ32" s="1130">
        <f>'A - Movement'!W32</f>
        <v>-4191.2905509760021</v>
      </c>
      <c r="AK32" s="1130">
        <f t="shared" si="9"/>
        <v>-4191.2905509760021</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543.77</v>
      </c>
      <c r="BP32" s="1782">
        <f>'B - Monthly Positions'!L32</f>
        <v>543.77</v>
      </c>
      <c r="BQ32" s="1782">
        <f>'B - Monthly Positions'!M32</f>
        <v>543.77</v>
      </c>
      <c r="BR32" s="1782">
        <f>'B - Monthly Positions'!N32</f>
        <v>543.77</v>
      </c>
      <c r="BS32" s="1814">
        <f>'B - Monthly Positions'!O32</f>
        <v>543.16999999999996</v>
      </c>
      <c r="BT32" s="1781">
        <f>'B - Monthly Positions'!P32</f>
        <v>3806.8710000000001</v>
      </c>
      <c r="BU32" s="1781">
        <f>'B - Monthly Positions'!Q32</f>
        <v>6525.1210000000001</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2296.9166666666665</v>
      </c>
      <c r="EO32" s="75">
        <f>'C, C1, C2&amp; C3 - Savings Schemes'!Q32</f>
        <v>3174</v>
      </c>
      <c r="EP32" s="1166">
        <f>'C, C1, C2&amp; C3 - Savings Schemes'!R32</f>
        <v>0.72366624658685141</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149</v>
      </c>
      <c r="IF32" s="2063">
        <f>'G - Cash Flow'!K32</f>
        <v>362</v>
      </c>
      <c r="IG32" s="2063">
        <f>'G - Cash Flow'!L32</f>
        <v>602</v>
      </c>
      <c r="IH32" s="2063">
        <f>'G - Cash Flow'!M32</f>
        <v>262</v>
      </c>
      <c r="II32" s="2063">
        <f>'G - Cash Flow'!N32</f>
        <v>251.8</v>
      </c>
      <c r="IJ32" s="2149">
        <f>'G - Cash Flow'!O32</f>
        <v>1992.7981499999999</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196.97000000000003</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142.71428571428572</v>
      </c>
      <c r="CY33" s="1768">
        <f>'B2 - Pay &amp; Agency'!K33</f>
        <v>142.71428571428572</v>
      </c>
      <c r="CZ33" s="1768">
        <f>'B2 - Pay &amp; Agency'!L33</f>
        <v>142.71428571428572</v>
      </c>
      <c r="DA33" s="1768">
        <f>'B2 - Pay &amp; Agency'!M33</f>
        <v>142.71428571428572</v>
      </c>
      <c r="DB33" s="1769">
        <f>'B2 - Pay &amp; Agency'!N33</f>
        <v>142.71428571428572</v>
      </c>
      <c r="DC33" s="1131">
        <f>'B2 - Pay &amp; Agency'!O33</f>
        <v>999</v>
      </c>
      <c r="DD33" s="1322">
        <f>'B2 - Pay &amp; Agency'!P33</f>
        <v>1712.5714285714289</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935.2732400000001</v>
      </c>
      <c r="DP33" s="1906">
        <f>'B3 - COVID-19'!K33</f>
        <v>973.87347000000011</v>
      </c>
      <c r="DQ33" s="1906">
        <f>'B3 - COVID-19'!L33</f>
        <v>1028.62347</v>
      </c>
      <c r="DR33" s="1906">
        <f>'B3 - COVID-19'!M33</f>
        <v>958.07060999999999</v>
      </c>
      <c r="DS33" s="1906">
        <f>'B3 - COVID-19'!N33</f>
        <v>1037.6234800000002</v>
      </c>
      <c r="DT33" s="1906">
        <f>'B3 - COVID-19'!O33</f>
        <v>5681.3018400000001</v>
      </c>
      <c r="DU33" s="1906">
        <f>'B3 - COVID-19'!P33</f>
        <v>10614.766109999999</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305</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4191.2907809760018</v>
      </c>
      <c r="P34" s="1130">
        <f>'A - Movement'!D34</f>
        <v>4191.2907809760018</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259.74471250826878</v>
      </c>
      <c r="AE34" s="1130">
        <f>'A - Movement'!R34</f>
        <v>754.70690198581724</v>
      </c>
      <c r="AF34" s="1130">
        <f>'A - Movement'!S34</f>
        <v>185.9634203191506</v>
      </c>
      <c r="AG34" s="1130">
        <f>'A - Movement'!T34</f>
        <v>207.3341880307205</v>
      </c>
      <c r="AH34" s="1130">
        <f>'A - Movement'!U34</f>
        <v>649.62253920803914</v>
      </c>
      <c r="AI34" s="1130">
        <f>'A - Movement'!V34</f>
        <v>2133.9190189240053</v>
      </c>
      <c r="AJ34" s="1130">
        <f>'A - Movement'!W34</f>
        <v>4191.2907809760018</v>
      </c>
      <c r="AK34" s="1130">
        <f t="shared" si="9"/>
        <v>4191.2907809760018</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18.714285714285715</v>
      </c>
      <c r="CY34" s="1776">
        <f>'B2 - Pay &amp; Agency'!K34</f>
        <v>18.714285714285715</v>
      </c>
      <c r="CZ34" s="1776">
        <f>'B2 - Pay &amp; Agency'!L34</f>
        <v>18.714285714285715</v>
      </c>
      <c r="DA34" s="1776">
        <f>'B2 - Pay &amp; Agency'!M34</f>
        <v>18.714285714285715</v>
      </c>
      <c r="DB34" s="1777">
        <f>'B2 - Pay &amp; Agency'!N34</f>
        <v>18.714285714285715</v>
      </c>
      <c r="DC34" s="1323">
        <f>'B2 - Pay &amp; Agency'!O34</f>
        <v>131</v>
      </c>
      <c r="DD34" s="1324">
        <f>'B2 - Pay &amp; Agency'!P34</f>
        <v>224.57142857142861</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997.22298000000012</v>
      </c>
      <c r="DP34" s="1911">
        <f>'B3 - COVID-19'!K34</f>
        <v>1032.0161700000001</v>
      </c>
      <c r="DQ34" s="1911">
        <f>'B3 - COVID-19'!L34</f>
        <v>1089.6534200000001</v>
      </c>
      <c r="DR34" s="1911">
        <f>'B3 - COVID-19'!M34</f>
        <v>1016.25766</v>
      </c>
      <c r="DS34" s="1911">
        <f>'B3 - COVID-19'!N34</f>
        <v>1092.8105300000002</v>
      </c>
      <c r="DT34" s="1911">
        <f>'B3 - COVID-19'!O34</f>
        <v>6125.4970700000003</v>
      </c>
      <c r="DU34" s="1911">
        <f>'B3 - COVID-19'!P34</f>
        <v>11353.457829999999</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20374.102999999999</v>
      </c>
      <c r="IF34" s="2129">
        <f>'G - Cash Flow'!K34</f>
        <v>20587.102999999999</v>
      </c>
      <c r="IG34" s="2129">
        <f>'G - Cash Flow'!L34</f>
        <v>20827.102999999999</v>
      </c>
      <c r="IH34" s="2129">
        <f>'G - Cash Flow'!M34</f>
        <v>20487.102999999999</v>
      </c>
      <c r="II34" s="2129">
        <f>'G - Cash Flow'!N34</f>
        <v>27179.743520000015</v>
      </c>
      <c r="IJ34" s="2129">
        <f>'G - Cash Flow'!O34</f>
        <v>243827.64938000002</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0.42857142857142855</v>
      </c>
      <c r="CY35" s="1776">
        <f>'B2 - Pay &amp; Agency'!K35</f>
        <v>0.42857142857142855</v>
      </c>
      <c r="CZ35" s="1776">
        <f>'B2 - Pay &amp; Agency'!L35</f>
        <v>0.42857142857142855</v>
      </c>
      <c r="DA35" s="1776">
        <f>'B2 - Pay &amp; Agency'!M35</f>
        <v>0.42857142857142855</v>
      </c>
      <c r="DB35" s="1777">
        <f>'B2 - Pay &amp; Agency'!N35</f>
        <v>0.42857142857142855</v>
      </c>
      <c r="DC35" s="1323">
        <f>'B2 - Pay &amp; Agency'!O35</f>
        <v>3</v>
      </c>
      <c r="DD35" s="1324">
        <f>'B2 - Pay &amp; Agency'!P35</f>
        <v>5.1428571428571432</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5939</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0</v>
      </c>
      <c r="AE36" s="953">
        <f>'A - Movement'!R36</f>
        <v>0</v>
      </c>
      <c r="AF36" s="953">
        <f>'A - Movement'!S36</f>
        <v>0</v>
      </c>
      <c r="AG36" s="953">
        <f>'A - Movement'!T36</f>
        <v>0</v>
      </c>
      <c r="AH36" s="953">
        <f>'A - Movement'!U36</f>
        <v>-120</v>
      </c>
      <c r="AI36" s="1130">
        <f>'A - Movement'!V36</f>
        <v>120</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20889.22366333333</v>
      </c>
      <c r="BP36" s="1109">
        <f>'B - Monthly Positions'!L36</f>
        <v>20748.598436666667</v>
      </c>
      <c r="BQ36" s="1109">
        <f>'B - Monthly Positions'!M36</f>
        <v>20485.784526666666</v>
      </c>
      <c r="BR36" s="1109">
        <f>'B - Monthly Positions'!N36</f>
        <v>20628.388766666667</v>
      </c>
      <c r="BS36" s="1109">
        <f>'B - Monthly Positions'!O36</f>
        <v>23903.941636666663</v>
      </c>
      <c r="BT36" s="1109">
        <f>'B - Monthly Positions'!P36</f>
        <v>136787</v>
      </c>
      <c r="BU36" s="1109">
        <f>'B - Monthly Positions'!Q36</f>
        <v>243442.93703</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8121.5293398330969</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2296.9166666666665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1503.6911428571402</v>
      </c>
      <c r="IF36" s="2054">
        <f>'G - Cash Flow'!K36</f>
        <v>1290.6911428571402</v>
      </c>
      <c r="IG36" s="2054">
        <f>'G - Cash Flow'!L36</f>
        <v>1050.6911428571402</v>
      </c>
      <c r="IH36" s="2054">
        <f>'G - Cash Flow'!M36</f>
        <v>1390.6911428571402</v>
      </c>
      <c r="II36" s="2054">
        <f>'G - Cash Flow'!N36</f>
        <v>-4930.7623771428734</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-2824</v>
      </c>
      <c r="LH36" s="1603">
        <f>'L - EFL'!D36</f>
        <v>-3463.8405200000161</v>
      </c>
      <c r="LI36" s="2228">
        <f>'L - EFL'!E36</f>
        <v>-639.84052000001611</v>
      </c>
      <c r="LJ36" s="1603">
        <f>'L - EFL'!F36</f>
        <v>305</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3.637978807091713E-12</v>
      </c>
      <c r="BP37" s="1131">
        <f>'B - Monthly Positions'!L37</f>
        <v>0</v>
      </c>
      <c r="BQ37" s="1131">
        <f>'B - Monthly Positions'!M37</f>
        <v>0</v>
      </c>
      <c r="BR37" s="1131">
        <f>'B - Monthly Positions'!N37</f>
        <v>0</v>
      </c>
      <c r="BS37" s="1109">
        <f>'B - Monthly Positions'!O37</f>
        <v>-119.99999999999636</v>
      </c>
      <c r="BT37" s="1131">
        <f>'B - Monthly Positions'!P37</f>
        <v>120</v>
      </c>
      <c r="BU37" s="1131">
        <f>'B - Monthly Positions'!Q37</f>
        <v>2.9103830456733704E-11</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20.857142857142858</v>
      </c>
      <c r="CY37" s="1776">
        <f>'B2 - Pay &amp; Agency'!K37</f>
        <v>20.857142857142858</v>
      </c>
      <c r="CZ37" s="1776">
        <f>'B2 - Pay &amp; Agency'!L37</f>
        <v>20.857142857142858</v>
      </c>
      <c r="DA37" s="1776">
        <f>'B2 - Pay &amp; Agency'!M37</f>
        <v>20.857142857142858</v>
      </c>
      <c r="DB37" s="1777">
        <f>'B2 - Pay &amp; Agency'!N37</f>
        <v>20.857142857142858</v>
      </c>
      <c r="DC37" s="1323">
        <f>'B2 - Pay &amp; Agency'!O37</f>
        <v>146</v>
      </c>
      <c r="DD37" s="1324">
        <f>'B2 - Pay &amp; Agency'!P37</f>
        <v>250.28571428571431</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279.71821099311717</v>
      </c>
      <c r="DP37" s="2778">
        <f>'B3 - COVID-19'!K37</f>
        <v>769.26198380399887</v>
      </c>
      <c r="DQ37" s="2778">
        <f>'B3 - COVID-19'!L37</f>
        <v>220.06734213733239</v>
      </c>
      <c r="DR37" s="2778">
        <f>'B3 - COVID-19'!M37</f>
        <v>189.58700484890232</v>
      </c>
      <c r="DS37" s="2778">
        <f>'B3 - COVID-19'!N37</f>
        <v>631.87535602622097</v>
      </c>
      <c r="DT37" s="2778">
        <f>'B3 - COVID-19'!O37</f>
        <v>1996.0322698330965</v>
      </c>
      <c r="DU37" s="2778">
        <f>'B3 - COVID-19'!P37</f>
        <v>4086.5421676426704</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2296.9166666666665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16768.084122857133</v>
      </c>
      <c r="IG37" s="2237">
        <f>'G - Cash Flow'!L37</f>
        <v>18058.775265714274</v>
      </c>
      <c r="IH37" s="2237">
        <f>'G - Cash Flow'!M37</f>
        <v>19109.466408571414</v>
      </c>
      <c r="II37" s="2237">
        <f>'G - Cash Flow'!N37</f>
        <v>20500.157551428554</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-2.3333333333333335</v>
      </c>
      <c r="CY38" s="1776">
        <f>'B2 - Pay &amp; Agency'!K38</f>
        <v>-2.3333333333333335</v>
      </c>
      <c r="CZ38" s="1776">
        <f>'B2 - Pay &amp; Agency'!L38</f>
        <v>-2.3333333333333335</v>
      </c>
      <c r="DA38" s="1776">
        <f>'B2 - Pay &amp; Agency'!M38</f>
        <v>-2.3333333333333335</v>
      </c>
      <c r="DB38" s="1777">
        <f>'B2 - Pay &amp; Agency'!N38</f>
        <v>-2.3333333333333335</v>
      </c>
      <c r="DC38" s="1323">
        <f>'B2 - Pay &amp; Agency'!O38</f>
        <v>-14</v>
      </c>
      <c r="DD38" s="1324">
        <f>'B2 - Pay &amp; Agency'!P38</f>
        <v>-25.666666666666661</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7867</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16768.084122857133</v>
      </c>
      <c r="IF38" s="2054">
        <f>'G - Cash Flow'!K38</f>
        <v>18058.775265714274</v>
      </c>
      <c r="IG38" s="2054">
        <f>'G - Cash Flow'!L38</f>
        <v>19109.466408571414</v>
      </c>
      <c r="IH38" s="2054">
        <f>'G - Cash Flow'!M38</f>
        <v>20500.157551428554</v>
      </c>
      <c r="II38" s="2054">
        <f>'G - Cash Flow'!N38</f>
        <v>15569.395174285681</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72.714285714285708</v>
      </c>
      <c r="CY39" s="1776">
        <f>'B2 - Pay &amp; Agency'!K39</f>
        <v>72.714285714285708</v>
      </c>
      <c r="CZ39" s="1776">
        <f>'B2 - Pay &amp; Agency'!L39</f>
        <v>72.714285714285708</v>
      </c>
      <c r="DA39" s="1776">
        <f>'B2 - Pay &amp; Agency'!M39</f>
        <v>72.714285714285708</v>
      </c>
      <c r="DB39" s="1777">
        <f>'B2 - Pay &amp; Agency'!N39</f>
        <v>72.714285714285708</v>
      </c>
      <c r="DC39" s="1323">
        <f>'B2 - Pay &amp; Agency'!O39</f>
        <v>509</v>
      </c>
      <c r="DD39" s="1324">
        <f>'B2 - Pay &amp; Agency'!P39</f>
        <v>872.57142857142833</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1</v>
      </c>
      <c r="CY40" s="1776">
        <f>'B2 - Pay &amp; Agency'!K40</f>
        <v>1</v>
      </c>
      <c r="CZ40" s="1776">
        <f>'B2 - Pay &amp; Agency'!L40</f>
        <v>1</v>
      </c>
      <c r="DA40" s="1776">
        <f>'B2 - Pay &amp; Agency'!M40</f>
        <v>1</v>
      </c>
      <c r="DB40" s="1777">
        <f>'B2 - Pay &amp; Agency'!N40</f>
        <v>1</v>
      </c>
      <c r="DC40" s="1323">
        <f>'B2 - Pay &amp; Agency'!O40</f>
        <v>7</v>
      </c>
      <c r="DD40" s="1324">
        <f>'B2 - Pay &amp; Agency'!P40</f>
        <v>12</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29860</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8121.5291098330963</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254.09523809523807</v>
      </c>
      <c r="CY42" s="1341">
        <f>'B2 - Pay &amp; Agency'!K42</f>
        <v>254.09523809523807</v>
      </c>
      <c r="CZ42" s="1341">
        <f>'B2 - Pay &amp; Agency'!L42</f>
        <v>254.09523809523807</v>
      </c>
      <c r="DA42" s="1341">
        <f>'B2 - Pay &amp; Agency'!M42</f>
        <v>254.09523809523807</v>
      </c>
      <c r="DB42" s="1342">
        <f>'B2 - Pay &amp; Agency'!N42</f>
        <v>254.09523809523807</v>
      </c>
      <c r="DC42" s="1343">
        <f>'B2 - Pay &amp; Agency'!O42</f>
        <v>1781</v>
      </c>
      <c r="DD42" s="1344">
        <f>'B2 - Pay &amp; Agency'!P42</f>
        <v>3051.4761904761908</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997.22298000000012</v>
      </c>
      <c r="DP42" s="1325">
        <f>'B3 - COVID-19'!K42</f>
        <v>1032.0161700000001</v>
      </c>
      <c r="DQ42" s="1325">
        <f>'B3 - COVID-19'!L42</f>
        <v>1089.6534200000001</v>
      </c>
      <c r="DR42" s="1325">
        <f>'B3 - COVID-19'!M42</f>
        <v>1016.25766</v>
      </c>
      <c r="DS42" s="2727">
        <f>'B3 - COVID-19'!N42</f>
        <v>1092.8105300000002</v>
      </c>
      <c r="DT42" s="2801">
        <f>'B3 - COVID-19'!O42</f>
        <v>6125.4970700000013</v>
      </c>
      <c r="DU42" s="2802">
        <f>'B3 - COVID-19'!P42</f>
        <v>11353.457830000001</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2296.9166666666665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2296.9166666666665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2.1944950348160595E-2</v>
      </c>
      <c r="CY44" s="1353">
        <f>'B2 - Pay &amp; Agency'!K44</f>
        <v>2.1920765733000704E-2</v>
      </c>
      <c r="CZ44" s="1353">
        <f>'B2 - Pay &amp; Agency'!L44</f>
        <v>2.1853212280677447E-2</v>
      </c>
      <c r="DA44" s="1353">
        <f>'B2 - Pay &amp; Agency'!M44</f>
        <v>2.1871727331743428E-2</v>
      </c>
      <c r="DB44" s="1353">
        <f>'B2 - Pay &amp; Agency'!N44</f>
        <v>2.1265832918498311E-2</v>
      </c>
      <c r="DC44" s="1353">
        <f>'B2 - Pay &amp; Agency'!O44</f>
        <v>2.1927826547321505E-2</v>
      </c>
      <c r="DD44" s="1354">
        <f>'B2 - Pay &amp; Agency'!P44</f>
        <v>2.1861109212176925E-2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997.22298000000012</v>
      </c>
      <c r="DP44" s="2797">
        <f>'B3 - COVID-19'!K44</f>
        <v>1032.0161700000001</v>
      </c>
      <c r="DQ44" s="2797">
        <f>'B3 - COVID-19'!L44</f>
        <v>1089.6534200000001</v>
      </c>
      <c r="DR44" s="2797">
        <f>'B3 - COVID-19'!M44</f>
        <v>1016.25766</v>
      </c>
      <c r="DS44" s="2802">
        <f>'B3 - COVID-19'!N44</f>
        <v>1092.8105300000002</v>
      </c>
      <c r="DT44" s="2801">
        <f>'B3 - COVID-19'!O44</f>
        <v>6125.4970700000013</v>
      </c>
      <c r="DU44" s="2802">
        <f>'B3 - COVID-19'!P44</f>
        <v>11353.457830000001</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Oct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4.0000015360419638E-5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-279.71821099311717</v>
      </c>
      <c r="DP45" s="2804">
        <f>'B3 - COVID-19'!K45</f>
        <v>-769.26198380399887</v>
      </c>
      <c r="DQ45" s="2804">
        <f>'B3 - COVID-19'!L45</f>
        <v>-220.06734213733239</v>
      </c>
      <c r="DR45" s="2804">
        <f>'B3 - COVID-19'!M45</f>
        <v>-189.58700484890232</v>
      </c>
      <c r="DS45" s="2805">
        <f>'B3 - COVID-19'!N45</f>
        <v>-631.87535602622097</v>
      </c>
      <c r="DT45" s="2803">
        <f>'B3 - COVID-19'!O45</f>
        <v>-1996.032039833095</v>
      </c>
      <c r="DU45" s="2805">
        <f>'B3 - COVID-19'!P45</f>
        <v>-4086.5419376426671</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721</v>
      </c>
      <c r="JU45" s="2036">
        <f>'J - Capital In Year Schemes'!E45</f>
        <v>721</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35</v>
      </c>
      <c r="KD45" s="2036">
        <f>'J - Capital In Year Schemes'!N45</f>
        <v>263</v>
      </c>
      <c r="KE45" s="2036">
        <f>'J - Capital In Year Schemes'!O45</f>
        <v>35</v>
      </c>
      <c r="KF45" s="2036">
        <f>'J - Capital In Year Schemes'!P45</f>
        <v>82</v>
      </c>
      <c r="KG45" s="2036">
        <f>'J - Capital In Year Schemes'!Q45</f>
        <v>98.8</v>
      </c>
      <c r="KH45" s="2036">
        <f>'J - Capital In Year Schemes'!R45</f>
        <v>207.24963</v>
      </c>
      <c r="KI45" s="2036">
        <f>'J - Capital In Year Schemes'!S45</f>
        <v>721.04962999999998</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4.0000015360419638E-5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4035</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478</v>
      </c>
      <c r="HH48" s="199">
        <f>'E1 - Invoiced Income'!O48</f>
        <v>2075</v>
      </c>
      <c r="HI48" s="199">
        <f>'E1 - Invoiced Income'!P48</f>
        <v>212559.93703000003</v>
      </c>
      <c r="HJ48" s="199">
        <f>'E1 - Invoiced Income'!R48</f>
        <v>190</v>
      </c>
      <c r="HK48" s="199">
        <f>'E1 - Invoiced Income'!S48</f>
        <v>0</v>
      </c>
      <c r="HL48" s="199">
        <f>'E1 - Invoiced Income'!T48</f>
        <v>241432.93703000003</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901.13634000000002</v>
      </c>
      <c r="JU48" s="2009">
        <f>'J - Capital In Year Schemes'!E48</f>
        <v>901.13634000000002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99</v>
      </c>
      <c r="KD48" s="2009">
        <f>'J - Capital In Year Schemes'!N48</f>
        <v>99</v>
      </c>
      <c r="KE48" s="2009">
        <f>'J - Capital In Year Schemes'!O48</f>
        <v>499</v>
      </c>
      <c r="KF48" s="2009">
        <f>'J - Capital In Year Schemes'!P48</f>
        <v>99</v>
      </c>
      <c r="KG48" s="2009">
        <f>'J - Capital In Year Schemes'!Q48</f>
        <v>99</v>
      </c>
      <c r="KH48" s="2089">
        <f>'J - Capital In Year Schemes'!R48</f>
        <v>5.6403499999999998</v>
      </c>
      <c r="KI48" s="2089">
        <f>'J - Capital In Year Schemes'!S48</f>
        <v>900.64035000000001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4.0000015360419638E-5</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1165.5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29860</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123.563</v>
      </c>
      <c r="JU49" s="2009">
        <f>'J - Capital In Year Schemes'!E49</f>
        <v>123.563</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12</v>
      </c>
      <c r="KD49" s="2009">
        <f>'J - Capital In Year Schemes'!N49</f>
        <v>0</v>
      </c>
      <c r="KE49" s="2009">
        <f>'J - Capital In Year Schemes'!O49</f>
        <v>0</v>
      </c>
      <c r="KF49" s="2009">
        <f>'J - Capital In Year Schemes'!P49</f>
        <v>13</v>
      </c>
      <c r="KG49" s="2009">
        <f>'J - Capital In Year Schemes'!Q49</f>
        <v>0</v>
      </c>
      <c r="KH49" s="2089">
        <f>'J - Capital In Year Schemes'!R49</f>
        <v>98.98035999999999</v>
      </c>
      <c r="KI49" s="2089">
        <f>'J - Capital In Year Schemes'!S49</f>
        <v>123.98035999999999</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4.0000015360419638E-5</v>
      </c>
      <c r="P50" s="950">
        <f>'A - Movement'!D50</f>
        <v>4.0000015360419638E-5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5.6843418860808015E-13</v>
      </c>
      <c r="AE50" s="950">
        <f>'A - Movement'!R50</f>
        <v>1.1368683772161603E-13</v>
      </c>
      <c r="AF50" s="950">
        <f>'A - Movement'!S50</f>
        <v>-8.5265128291212022E-14</v>
      </c>
      <c r="AG50" s="950">
        <f>'A - Movement'!T50</f>
        <v>1.4210854715202004E-13</v>
      </c>
      <c r="AH50" s="950">
        <f>'A - Movement'!U50</f>
        <v>-120.00000000000034</v>
      </c>
      <c r="AI50" s="950">
        <f>'A - Movement'!V50</f>
        <v>120.00004000000069</v>
      </c>
      <c r="AJ50" s="950">
        <f>'A - Movement'!W50</f>
        <v>4.0000001092721504E-5</v>
      </c>
      <c r="AK50" s="950">
        <f t="shared" si="12"/>
        <v>4.0000015360419638E-5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1165.5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4.0000015360419638E-5</v>
      </c>
      <c r="BC51" s="1154">
        <f>'A2 - Risks'!D51</f>
        <v>0</v>
      </c>
      <c r="BE51" s="2232">
        <f>'B - Monthly Positions'!A51</f>
        <v>36</v>
      </c>
      <c r="BF51" s="1372" t="str">
        <f>'B - Monthly Positions'!B51</f>
        <v>Specialised Services</v>
      </c>
      <c r="BG51" s="93" t="str">
        <f>'B - Monthly Positions'!C51</f>
        <v>Actual/F'cast</v>
      </c>
      <c r="BH51" s="3004">
        <f>'B - Monthly Positions'!D51</f>
        <v>219409.94602999999</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76.75</v>
      </c>
      <c r="JU51" s="2009">
        <f>'J - Capital In Year Schemes'!E51</f>
        <v>76.75</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24</v>
      </c>
      <c r="KF51" s="2009">
        <f>'J - Capital In Year Schemes'!P51</f>
        <v>24</v>
      </c>
      <c r="KG51" s="2009">
        <f>'J - Capital In Year Schemes'!Q51</f>
        <v>10</v>
      </c>
      <c r="KH51" s="2089">
        <f>'J - Capital In Year Schemes'!R51</f>
        <v>15.9046</v>
      </c>
      <c r="KI51" s="2089">
        <f>'J - Capital In Year Schemes'!S51</f>
        <v>76.904600000000002</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2732</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247.85714285714286</v>
      </c>
      <c r="CY52" s="1768">
        <f>'B2 - Pay &amp; Agency'!K52</f>
        <v>247.85714285714286</v>
      </c>
      <c r="CZ52" s="1768">
        <f>'B2 - Pay &amp; Agency'!L52</f>
        <v>247.85714285714286</v>
      </c>
      <c r="DA52" s="1768">
        <f>'B2 - Pay &amp; Agency'!M52</f>
        <v>247.85714285714286</v>
      </c>
      <c r="DB52" s="1769">
        <f>'B2 - Pay &amp; Agency'!N52</f>
        <v>247.85714285714286</v>
      </c>
      <c r="DC52" s="1131">
        <f>'B2 - Pay &amp; Agency'!O52</f>
        <v>1735</v>
      </c>
      <c r="DD52" s="1322">
        <f>'B2 - Pay &amp; Agency'!P52</f>
        <v>2974.2857142857138</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131.614</v>
      </c>
      <c r="JU52" s="2051">
        <f>'J - Capital In Year Schemes'!E52</f>
        <v>131.614</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44</v>
      </c>
      <c r="KF52" s="2051">
        <f>'J - Capital In Year Schemes'!P52</f>
        <v>44</v>
      </c>
      <c r="KG52" s="2051">
        <f>'J - Capital In Year Schemes'!Q52</f>
        <v>44</v>
      </c>
      <c r="KH52" s="2074">
        <f>'J - Capital In Year Schemes'!R52</f>
        <v>-0.21941000000000002</v>
      </c>
      <c r="KI52" s="2074">
        <f>'J - Capital In Year Schemes'!S52</f>
        <v>131.78058999999999</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14438</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6.5714285714285712</v>
      </c>
      <c r="CY53" s="1776">
        <f>'B2 - Pay &amp; Agency'!K53</f>
        <v>6.5714285714285712</v>
      </c>
      <c r="CZ53" s="1776">
        <f>'B2 - Pay &amp; Agency'!L53</f>
        <v>6.5714285714285712</v>
      </c>
      <c r="DA53" s="1776">
        <f>'B2 - Pay &amp; Agency'!M53</f>
        <v>6.5714285714285712</v>
      </c>
      <c r="DB53" s="1777">
        <f>'B2 - Pay &amp; Agency'!N53</f>
        <v>6.5714285714285712</v>
      </c>
      <c r="DC53" s="1323">
        <f>'B2 - Pay &amp; Agency'!O53</f>
        <v>46</v>
      </c>
      <c r="DD53" s="1324">
        <f>'B2 - Pay &amp; Agency'!P53</f>
        <v>78.857142857142847</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30.636333333333337</v>
      </c>
      <c r="DP53" s="1902">
        <f>'B3 - COVID-19'!K53</f>
        <v>30.636333333333337</v>
      </c>
      <c r="DQ53" s="1902">
        <f>'B3 - COVID-19'!L53</f>
        <v>34.581249999999997</v>
      </c>
      <c r="DR53" s="1902">
        <f>'B3 - COVID-19'!M53</f>
        <v>34.581249999999997</v>
      </c>
      <c r="DS53" s="1902">
        <f>'B3 - COVID-19'!N53</f>
        <v>34.581249999999997</v>
      </c>
      <c r="DT53" s="1862">
        <f>'B3 - COVID-19'!O53</f>
        <v>280.18741</v>
      </c>
      <c r="DU53" s="1862">
        <f>'B3 - COVID-19'!P53</f>
        <v>445.20382666666666</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5033.2809999999999</v>
      </c>
      <c r="GW53" s="2525">
        <f>'E1 - Invoiced Income'!D53</f>
        <v>6320.1769999999997</v>
      </c>
      <c r="GX53" s="2528">
        <f>'E1 - Invoiced Income'!E53</f>
        <v>11353.457999999999</v>
      </c>
      <c r="GY53" s="2525">
        <f>'E1 - Invoiced Income'!F53</f>
        <v>0</v>
      </c>
      <c r="GZ53" s="2525" t="str">
        <f>'E1 - Invoiced Income'!G53</f>
        <v>Entered in P01 - Invoice raised for P01 - P06</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1233.0633400000002</v>
      </c>
      <c r="JU53" s="2036">
        <f>'J - Capital In Year Schemes'!E53</f>
        <v>1233.0633400000002</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114</v>
      </c>
      <c r="KD53" s="2036">
        <f>'J - Capital In Year Schemes'!N53</f>
        <v>99</v>
      </c>
      <c r="KE53" s="2036">
        <f>'J - Capital In Year Schemes'!O53</f>
        <v>567</v>
      </c>
      <c r="KF53" s="2036">
        <f>'J - Capital In Year Schemes'!P53</f>
        <v>180</v>
      </c>
      <c r="KG53" s="2036">
        <f>'J - Capital In Year Schemes'!Q53</f>
        <v>153</v>
      </c>
      <c r="KH53" s="2036">
        <f>'J - Capital In Year Schemes'!R53</f>
        <v>120.30589999999999</v>
      </c>
      <c r="KI53" s="2036">
        <f>'J - Capital In Year Schemes'!S53</f>
        <v>1233.3059000000001</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1.5347723092418164E-11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5.6843418860808015E-13</v>
      </c>
      <c r="AE54" s="950">
        <f>'A - Movement'!R54</f>
        <v>1.1368683772161603E-13</v>
      </c>
      <c r="AF54" s="950">
        <f>'A - Movement'!S54</f>
        <v>-8.5265128291212022E-14</v>
      </c>
      <c r="AG54" s="950">
        <f>'A - Movement'!T54</f>
        <v>1.4210854715202004E-13</v>
      </c>
      <c r="AH54" s="950">
        <f>'A - Movement'!U54</f>
        <v>-120.00000000000034</v>
      </c>
      <c r="AI54" s="950">
        <f>'A - Movement'!V54</f>
        <v>120.00000000000068</v>
      </c>
      <c r="AJ54" s="950">
        <f>O54</f>
        <v>1.5347723092418164E-11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580.13599999999997</v>
      </c>
      <c r="GW54" s="2526">
        <f>'E1 - Invoiced Income'!D54</f>
        <v>805.11599999999999</v>
      </c>
      <c r="GX54" s="196">
        <f>'E1 - Invoiced Income'!E54</f>
        <v>1385.252</v>
      </c>
      <c r="GY54" s="2526">
        <f>'E1 - Invoiced Income'!F54</f>
        <v>0</v>
      </c>
      <c r="GZ54" s="2526" t="str">
        <f>'E1 - Invoiced Income'!G54</f>
        <v>Entered in P01 - Invoice raised for P01 - P06</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Oct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236579.94602999999</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16.921666666666667</v>
      </c>
      <c r="DP55" s="1902">
        <f>'B3 - COVID-19'!K55</f>
        <v>16.921666666666667</v>
      </c>
      <c r="DQ55" s="1902">
        <f>'B3 - COVID-19'!L55</f>
        <v>16.921666666666667</v>
      </c>
      <c r="DR55" s="1902">
        <f>'B3 - COVID-19'!M55</f>
        <v>16.921666666666667</v>
      </c>
      <c r="DS55" s="1902">
        <f>'B3 - COVID-19'!N55</f>
        <v>16.921666666666667</v>
      </c>
      <c r="DT55" s="1862">
        <f>'B3 - COVID-19'!O55</f>
        <v>42.56297</v>
      </c>
      <c r="DU55" s="1862">
        <f>'B3 - COVID-19'!P55</f>
        <v>127.17130333333334</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4610</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398.41666666666669</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-1165.5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398.41666666666669</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-1165.5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407</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23.248833333333337</v>
      </c>
      <c r="DP59" s="1902">
        <f>'B3 - COVID-19'!K59</f>
        <v>17.830416666666668</v>
      </c>
      <c r="DQ59" s="1902">
        <f>'B3 - COVID-19'!L59</f>
        <v>17.830416666666668</v>
      </c>
      <c r="DR59" s="1902">
        <f>'B3 - COVID-19'!M59</f>
        <v>17.830416666666668</v>
      </c>
      <c r="DS59" s="1902">
        <f>'B3 - COVID-19'!N59</f>
        <v>17.830416666666668</v>
      </c>
      <c r="DT59" s="1862">
        <f>'B3 - COVID-19'!O59</f>
        <v>118.30575999999999</v>
      </c>
      <c r="DU59" s="1862">
        <f>'B3 - COVID-19'!P59</f>
        <v>212.87626000000006</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1485</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207.24997999999999</v>
      </c>
      <c r="JG60" s="2036">
        <f>'I - Capital RLM'!D60</f>
        <v>207.24997999999999</v>
      </c>
      <c r="JH60" s="2036">
        <f>'I - Capital RLM'!E60</f>
        <v>0</v>
      </c>
      <c r="JI60" s="2118">
        <f>'I - Capital RLM'!F60</f>
        <v>0</v>
      </c>
      <c r="JJ60" s="2036">
        <f>'I - Capital RLM'!G60</f>
        <v>721</v>
      </c>
      <c r="JK60" s="2036">
        <f>'I - Capital RLM'!H60</f>
        <v>721</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120</v>
      </c>
      <c r="BJ61" s="2049"/>
      <c r="BK61" s="2255"/>
      <c r="BL61" s="2256" t="str">
        <f>'B - Monthly Positions'!H60</f>
        <v>33. Extrapolated Scenario</v>
      </c>
      <c r="BM61" s="2257"/>
      <c r="BN61" s="2257"/>
      <c r="BO61" s="2254">
        <f>'B - Monthly Positions'!K60</f>
        <v>99.99999999998181</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124.00000000000364</v>
      </c>
      <c r="BJ62" s="2276"/>
      <c r="BK62" s="2249"/>
      <c r="BL62" s="2277" t="str">
        <f>'B - Monthly Positions'!H61</f>
        <v>34. Year to Date Trend Scenario</v>
      </c>
      <c r="BM62" s="2278"/>
      <c r="BN62" s="2278"/>
      <c r="BO62" s="2279">
        <f>'B - Monthly Positions'!K61</f>
        <v>205.71428571428572</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70.806833333333344</v>
      </c>
      <c r="DP62" s="1907">
        <f>'B3 - COVID-19'!K62</f>
        <v>65.388416666666672</v>
      </c>
      <c r="DQ62" s="1907">
        <f>'B3 - COVID-19'!L62</f>
        <v>69.333333333333329</v>
      </c>
      <c r="DR62" s="1907">
        <f>'B3 - COVID-19'!M62</f>
        <v>69.333333333333329</v>
      </c>
      <c r="DS62" s="1907">
        <f>'B3 - COVID-19'!N62</f>
        <v>69.333333333333329</v>
      </c>
      <c r="DT62" s="1907">
        <f>'B3 - COVID-19'!O62</f>
        <v>441.05614000000003</v>
      </c>
      <c r="DU62" s="1907">
        <f>'B3 - COVID-19'!P62</f>
        <v>785.25139000000013</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-4.000000000003638</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7600.71407</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901.07033999999999</v>
      </c>
      <c r="JK64" s="2009">
        <f>'I - Capital RLM'!H64</f>
        <v>901.07033999999999</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17.142857142857142</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254.42857142857144</v>
      </c>
      <c r="CY65" s="1341">
        <f>'B2 - Pay &amp; Agency'!K65</f>
        <v>254.42857142857144</v>
      </c>
      <c r="CZ65" s="1341">
        <f>'B2 - Pay &amp; Agency'!L65</f>
        <v>254.42857142857144</v>
      </c>
      <c r="DA65" s="1341">
        <f>'B2 - Pay &amp; Agency'!M65</f>
        <v>254.42857142857144</v>
      </c>
      <c r="DB65" s="1342">
        <f>'B2 - Pay &amp; Agency'!N65</f>
        <v>254.42857142857144</v>
      </c>
      <c r="DC65" s="1343">
        <f>'B2 - Pay &amp; Agency'!O65</f>
        <v>1781</v>
      </c>
      <c r="DD65" s="1344">
        <f>'B2 - Pay &amp; Agency'!P65</f>
        <v>3053.1428571428564</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98.890360000000001</v>
      </c>
      <c r="JG65" s="2009">
        <f>'I - Capital RLM'!D65</f>
        <v>98.890360000000001</v>
      </c>
      <c r="JH65" s="2117">
        <f>'I - Capital RLM'!E65</f>
        <v>0</v>
      </c>
      <c r="JI65" s="1942">
        <f>'I - Capital RLM'!F65</f>
        <v>0</v>
      </c>
      <c r="JJ65" s="2009">
        <f>'I - Capital RLM'!G65</f>
        <v>123.56394</v>
      </c>
      <c r="JK65" s="2009">
        <f>'I - Capital RLM'!H65</f>
        <v>123.56394</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24</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56.193850000000005</v>
      </c>
      <c r="DP66" s="1329">
        <f>'B3 - COVID-19'!K66</f>
        <v>56.193850000000005</v>
      </c>
      <c r="DQ66" s="1329">
        <f>'B3 - COVID-19'!L66</f>
        <v>71.797773333333339</v>
      </c>
      <c r="DR66" s="1329">
        <f>'B3 - COVID-19'!M66</f>
        <v>71.797773333333339</v>
      </c>
      <c r="DS66" s="1329">
        <f>'B3 - COVID-19'!N66</f>
        <v>71.797773333333339</v>
      </c>
      <c r="DT66" s="1862">
        <f>'B3 - COVID-19'!O66</f>
        <v>272.21897999999999</v>
      </c>
      <c r="DU66" s="1862">
        <f>'B3 - COVID-19'!P66</f>
        <v>600</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2317</v>
      </c>
      <c r="HS67" s="2402"/>
      <c r="HT67" s="2351">
        <f t="shared" si="19"/>
        <v>0</v>
      </c>
      <c r="JD67" s="2087">
        <f>'I - Capital RLM'!A67</f>
        <v>46</v>
      </c>
      <c r="JE67" s="2392" t="str">
        <f>'I - Capital RLM'!B67</f>
        <v>Estates</v>
      </c>
      <c r="JF67" s="2009">
        <f>'I - Capital RLM'!C67</f>
        <v>16.200600000000001</v>
      </c>
      <c r="JG67" s="2009">
        <f>'I - Capital RLM'!D67</f>
        <v>16.200600000000001</v>
      </c>
      <c r="JH67" s="2117">
        <f>'I - Capital RLM'!E67</f>
        <v>0</v>
      </c>
      <c r="JI67" s="1942">
        <f>'I - Capital RLM'!F67</f>
        <v>0</v>
      </c>
      <c r="JJ67" s="2009">
        <f>'I - Capital RLM'!G67</f>
        <v>76.75036999999999</v>
      </c>
      <c r="JK67" s="2009">
        <f>'I - Capital RLM'!H67</f>
        <v>76.75036999999999</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0</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131.61487</v>
      </c>
      <c r="JK68" s="2051">
        <f>'I - Capital RLM'!H68</f>
        <v>131.61487</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120.51190000000001</v>
      </c>
      <c r="JG69" s="2036">
        <f>'I - Capital RLM'!D69</f>
        <v>120.51190000000001</v>
      </c>
      <c r="JH69" s="2036">
        <f>'I - Capital RLM'!E69</f>
        <v>0</v>
      </c>
      <c r="JI69" s="1942">
        <f>'I - Capital RLM'!F69</f>
        <v>0</v>
      </c>
      <c r="JJ69" s="2036">
        <f>'I - Capital RLM'!G69</f>
        <v>1232.9995199999998</v>
      </c>
      <c r="JK69" s="2036">
        <f>'I - Capital RLM'!H69</f>
        <v>1232.9995199999998</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1131.4166666666665</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1131.4166666666665</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63</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407.3</v>
      </c>
      <c r="BP73" s="1788">
        <f>'B - Monthly Positions'!L72</f>
        <v>407.3</v>
      </c>
      <c r="BQ73" s="1788">
        <f>'B - Monthly Positions'!M72</f>
        <v>407.3</v>
      </c>
      <c r="BR73" s="1788">
        <f>'B - Monthly Positions'!N72</f>
        <v>407.3</v>
      </c>
      <c r="BS73" s="1838">
        <f>'B - Monthly Positions'!O72</f>
        <v>407</v>
      </c>
      <c r="BT73" s="74">
        <f>'B - Monthly Positions'!P72</f>
        <v>2851.0910000000003</v>
      </c>
      <c r="BU73" s="937">
        <f>'B - Monthly Positions'!Q72</f>
        <v>4887.2910000000002</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55838</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12.3</v>
      </c>
      <c r="BP74" s="1782">
        <f>'B - Monthly Positions'!L73</f>
        <v>12.3</v>
      </c>
      <c r="BQ74" s="1782">
        <f>'B - Monthly Positions'!M73</f>
        <v>12.3</v>
      </c>
      <c r="BR74" s="1782">
        <f>'B - Monthly Positions'!N73</f>
        <v>12.3</v>
      </c>
      <c r="BS74" s="1785">
        <f>'B - Monthly Positions'!O73</f>
        <v>12</v>
      </c>
      <c r="BT74" s="74">
        <f>'B - Monthly Positions'!P73</f>
        <v>86.6</v>
      </c>
      <c r="BU74" s="1066">
        <f>'B - Monthly Positions'!Q73</f>
        <v>147.80000000000001</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56.193850000000005</v>
      </c>
      <c r="DP76" s="1906">
        <f>'B3 - COVID-19'!K76</f>
        <v>56.193850000000005</v>
      </c>
      <c r="DQ76" s="1906">
        <f>'B3 - COVID-19'!L76</f>
        <v>71.797773333333339</v>
      </c>
      <c r="DR76" s="1906">
        <f>'B3 - COVID-19'!M76</f>
        <v>71.797773333333339</v>
      </c>
      <c r="DS76" s="1906">
        <f>'B3 - COVID-19'!N76</f>
        <v>71.797773333333339</v>
      </c>
      <c r="DT76" s="1906">
        <f>'B3 - COVID-19'!O76</f>
        <v>272.21897999999999</v>
      </c>
      <c r="DU76" s="1906">
        <f>'B3 - COVID-19'!P76</f>
        <v>600</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3403</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869.18</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127.00068333333334</v>
      </c>
      <c r="DP77" s="1911">
        <f>'B3 - COVID-19'!K77</f>
        <v>121.58226666666667</v>
      </c>
      <c r="DQ77" s="1911">
        <f>'B3 - COVID-19'!L77</f>
        <v>141.13110666666665</v>
      </c>
      <c r="DR77" s="1911">
        <f>'B3 - COVID-19'!M77</f>
        <v>141.13110666666665</v>
      </c>
      <c r="DS77" s="1911">
        <f>'B3 - COVID-19'!N77</f>
        <v>141.13110666666665</v>
      </c>
      <c r="DT77" s="1911">
        <f>'B3 - COVID-19'!O77</f>
        <v>713.27512000000002</v>
      </c>
      <c r="DU77" s="2491">
        <f>'B3 - COVID-19'!P77</f>
        <v>1385.2513900000001</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11861</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543.77</v>
      </c>
      <c r="BP78" s="1137">
        <f>'B - Monthly Positions'!L77</f>
        <v>543.77</v>
      </c>
      <c r="BQ78" s="1137">
        <f>'B - Monthly Positions'!M77</f>
        <v>543.77</v>
      </c>
      <c r="BR78" s="1137">
        <f>'B - Monthly Positions'!N77</f>
        <v>543.77</v>
      </c>
      <c r="BS78" s="1137">
        <f>'B - Monthly Positions'!O77</f>
        <v>543.16999999999996</v>
      </c>
      <c r="BT78" s="1100">
        <f>'B - Monthly Positions'!P77</f>
        <v>3806.8710000000001</v>
      </c>
      <c r="BU78" s="1132">
        <f>'B - Monthly Positions'!Q77</f>
        <v>6525.1210000000001</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1954.0633400000002</v>
      </c>
      <c r="JU78" s="2036">
        <f>'J - Capital In Year Schemes'!E78</f>
        <v>1954.0633400000002</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149</v>
      </c>
      <c r="KD78" s="2036">
        <f>'J - Capital In Year Schemes'!N78</f>
        <v>362</v>
      </c>
      <c r="KE78" s="2036">
        <f>'J - Capital In Year Schemes'!O78</f>
        <v>602</v>
      </c>
      <c r="KF78" s="2036">
        <f>'J - Capital In Year Schemes'!P78</f>
        <v>262</v>
      </c>
      <c r="KG78" s="2036">
        <f>'J - Capital In Year Schemes'!Q78</f>
        <v>251.8</v>
      </c>
      <c r="KH78" s="2036">
        <f>'J - Capital In Year Schemes'!R78</f>
        <v>327.55552999999998</v>
      </c>
      <c r="KI78" s="2036">
        <f>'J - Capital In Year Schemes'!S78</f>
        <v>1954.35553</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851.16186909090891</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82.04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-19.973498484848506</v>
      </c>
      <c r="DP80" s="1907">
        <f>'B3 - COVID-19'!K80</f>
        <v>-14.555081818181833</v>
      </c>
      <c r="DQ80" s="1907">
        <f>'B3 - COVID-19'!L80</f>
        <v>-34.103921818181817</v>
      </c>
      <c r="DR80" s="1907">
        <f>'B3 - COVID-19'!M80</f>
        <v>17.747183181818201</v>
      </c>
      <c r="DS80" s="1907">
        <f>'B3 - COVID-19'!N80</f>
        <v>17.747183181818201</v>
      </c>
      <c r="DT80" s="1907">
        <f>'B3 - COVID-19'!O80</f>
        <v>137.88674909090889</v>
      </c>
      <c r="DU80" s="1907">
        <f>'B3 - COVID-19'!P80</f>
        <v>104.7486133333332</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114.93</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196.97000000000003</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5613.4169999999995</v>
      </c>
      <c r="GW83" s="2527">
        <f>'E1 - Invoiced Income'!D83</f>
        <v>7125.2929999999997</v>
      </c>
      <c r="GX83" s="117">
        <f>'E1 - Invoiced Income'!E83</f>
        <v>12738.71</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851.16190909090892</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127.00068333333334</v>
      </c>
      <c r="DP85" s="1325">
        <f>'B3 - COVID-19'!K85</f>
        <v>121.58226666666667</v>
      </c>
      <c r="DQ85" s="1325">
        <f>'B3 - COVID-19'!L85</f>
        <v>141.13110666666665</v>
      </c>
      <c r="DR85" s="1325">
        <f>'B3 - COVID-19'!M85</f>
        <v>141.13110666666665</v>
      </c>
      <c r="DS85" s="1334">
        <f>'B3 - COVID-19'!N85</f>
        <v>141.13110666666665</v>
      </c>
      <c r="DT85" s="1323">
        <f>'B3 - COVID-19'!O85</f>
        <v>713.27516000000003</v>
      </c>
      <c r="DU85" s="1324">
        <f>'B3 - COVID-19'!P85</f>
        <v>1385.25143</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127.00068333333334</v>
      </c>
      <c r="DP87" s="2814">
        <f>'B3 - COVID-19'!K87</f>
        <v>121.58226666666667</v>
      </c>
      <c r="DQ87" s="2814">
        <f>'B3 - COVID-19'!L87</f>
        <v>141.13110666666665</v>
      </c>
      <c r="DR87" s="2814">
        <f>'B3 - COVID-19'!M87</f>
        <v>141.13110666666665</v>
      </c>
      <c r="DS87" s="2815">
        <f>'B3 - COVID-19'!N87</f>
        <v>141.13110666666665</v>
      </c>
      <c r="DT87" s="1109">
        <f>'B3 - COVID-19'!O87</f>
        <v>713.27516000000003</v>
      </c>
      <c r="DU87" s="1219">
        <f>'B3 - COVID-19'!P87</f>
        <v>1385.25143</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19.973498484848506</v>
      </c>
      <c r="DP88" s="2811">
        <f>'B3 - COVID-19'!K88</f>
        <v>14.555081818181833</v>
      </c>
      <c r="DQ88" s="2811">
        <f>'B3 - COVID-19'!L88</f>
        <v>34.103921818181817</v>
      </c>
      <c r="DR88" s="2811">
        <f>'B3 - COVID-19'!M88</f>
        <v>-17.747183181818201</v>
      </c>
      <c r="DS88" s="2812">
        <f>'B3 - COVID-19'!N88</f>
        <v>-17.747183181818201</v>
      </c>
      <c r="DT88" s="1685">
        <f>'B3 - COVID-19'!O88</f>
        <v>-137.88674909090889</v>
      </c>
      <c r="DU88" s="2517">
        <f>'B3 - COVID-19'!P88</f>
        <v>-104.7486133333332</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4.0000000012696546E-5</v>
      </c>
      <c r="DU90" s="1866">
        <f>'B3 - COVID-19'!P90</f>
        <v>3.9999999899009708E-5</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327.76188000000002</v>
      </c>
      <c r="JG95" s="2036">
        <f>'I - Capital RLM'!D95</f>
        <v>327.76188000000002</v>
      </c>
      <c r="JH95" s="2036">
        <f>'I - Capital RLM'!E95</f>
        <v>0</v>
      </c>
      <c r="JI95" s="1942">
        <f>'I - Capital RLM'!F95</f>
        <v>0</v>
      </c>
      <c r="JJ95" s="2036">
        <f>'I - Capital RLM'!G95</f>
        <v>1953.9995199999998</v>
      </c>
      <c r="JK95" s="2036">
        <f>'I - Capital RLM'!H95</f>
        <v>1953.9995199999998</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64</v>
      </c>
      <c r="BP96" s="3002">
        <f>'B - Monthly Positions'!L96</f>
        <v>65</v>
      </c>
      <c r="BQ96" s="3002">
        <f>'B - Monthly Positions'!M96</f>
        <v>68</v>
      </c>
      <c r="BR96" s="3002">
        <f>'B - Monthly Positions'!N96</f>
        <v>61</v>
      </c>
      <c r="BS96" s="3002">
        <f>'B - Monthly Positions'!O96</f>
        <v>63</v>
      </c>
      <c r="BT96" s="1100">
        <f>'B - Monthly Positions'!P96</f>
        <v>264</v>
      </c>
      <c r="BU96" s="1100">
        <f>'B - Monthly Positions'!Q96</f>
        <v>585</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1131.4166666666665</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1131.4166666666665</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1165.5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1165.5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327.76188000000002</v>
      </c>
      <c r="JG129" s="2036">
        <f>'I - Capital RLM'!D129</f>
        <v>327.76188000000002</v>
      </c>
      <c r="JH129" s="2036">
        <f>'I - Capital RLM'!E129</f>
        <v>0</v>
      </c>
      <c r="JI129" s="1942">
        <f>'I - Capital RLM'!F129</f>
        <v>0</v>
      </c>
      <c r="JJ129" s="2036">
        <f>'I - Capital RLM'!G129</f>
        <v>1953.9995199999998</v>
      </c>
      <c r="JK129" s="2036">
        <f>'I - Capital RLM'!H129</f>
        <v>1953.9995199999998</v>
      </c>
      <c r="JL129" s="2036">
        <f>'I - Capital RLM'!I129</f>
        <v>0</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-1626.23812</v>
      </c>
      <c r="JH131" s="2451">
        <f>'I - Capital RLM'!E131</f>
        <v>0</v>
      </c>
      <c r="JI131" s="1942">
        <f>'I - Capital RLM'!F131</f>
        <v>0</v>
      </c>
      <c r="JJ131" s="2451">
        <f>'I - Capital RLM'!G131</f>
        <v>0</v>
      </c>
      <c r="JK131" s="2036">
        <f>'I - Capital RLM'!H131</f>
        <v>-4.8000000015235855E-4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2296.9166666666665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2296.9166666666665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8972.6912089240068</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1124.2236633333334</v>
      </c>
      <c r="DP148" s="2750">
        <f>'B3 - COVID-19'!K148</f>
        <v>1153.5984366666667</v>
      </c>
      <c r="DQ148" s="2750">
        <f>'B3 - COVID-19'!L148</f>
        <v>1230.7845266666668</v>
      </c>
      <c r="DR148" s="2750">
        <f>'B3 - COVID-19'!M148</f>
        <v>1157.3887666666667</v>
      </c>
      <c r="DS148" s="2750">
        <f>'B3 - COVID-19'!N148</f>
        <v>1233.9416366666669</v>
      </c>
      <c r="DT148" s="2754">
        <f>'B3 - COVID-19'!O148</f>
        <v>6838.7721900000006</v>
      </c>
      <c r="DU148" s="2755">
        <f>'B3 - COVID-19'!P148</f>
        <v>12738.709220000001</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259.74471250826878</v>
      </c>
      <c r="DP149" s="2754">
        <f>'B3 - COVID-19'!K149</f>
        <v>754.70690198581724</v>
      </c>
      <c r="DQ149" s="2754">
        <f>'B3 - COVID-19'!L149</f>
        <v>185.9634203191506</v>
      </c>
      <c r="DR149" s="2754">
        <f>'B3 - COVID-19'!M149</f>
        <v>207.3341880307205</v>
      </c>
      <c r="DS149" s="2754">
        <f>'B3 - COVID-19'!N149</f>
        <v>649.62253920803914</v>
      </c>
      <c r="DT149" s="2754">
        <f>'B3 - COVID-19'!O149</f>
        <v>2133.9190189240053</v>
      </c>
      <c r="DU149" s="2755">
        <f>'B3 - COVID-19'!P149</f>
        <v>4191.2907809760018</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8972.6910189240061</v>
      </c>
      <c r="DU151" s="2755">
        <f>'B3 - COVID-19'!P151</f>
        <v>16929.999810976002</v>
      </c>
      <c r="DV151" s="608"/>
      <c r="DW151" s="1115"/>
      <c r="LL151" s="813"/>
      <c r="LM151" s="641"/>
      <c r="LN151" s="642"/>
      <c r="LO151" s="643"/>
      <c r="LP151" s="833">
        <f>'M - Aged Debtors'!E151</f>
        <v>186250</v>
      </c>
      <c r="LQ151" s="833">
        <f>'M - Aged Debtors'!F151</f>
        <v>186250</v>
      </c>
      <c r="LR151" s="644"/>
      <c r="LS151" s="834">
        <f>'M - Aged Debtors'!H151</f>
        <v>186250</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1124.2236633333334</v>
      </c>
      <c r="DP152" s="2750">
        <f>'B3 - COVID-19'!K152</f>
        <v>1153.5984366666667</v>
      </c>
      <c r="DQ152" s="2750">
        <f>'B3 - COVID-19'!L152</f>
        <v>1230.7845266666668</v>
      </c>
      <c r="DR152" s="2750">
        <f>'B3 - COVID-19'!M152</f>
        <v>1157.3887666666667</v>
      </c>
      <c r="DS152" s="2750">
        <f>'B3 - COVID-19'!N152</f>
        <v>1233.9416366666669</v>
      </c>
      <c r="DT152" s="2754">
        <f>'B3 - COVID-19'!O152</f>
        <v>6838.7722299999996</v>
      </c>
      <c r="DU152" s="2755">
        <f>'B3 - COVID-19'!P152</f>
        <v>12738.70926</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1124.2236633333334</v>
      </c>
      <c r="DP154" s="2754">
        <f>'B3 - COVID-19'!K154</f>
        <v>1153.5984366666667</v>
      </c>
      <c r="DQ154" s="2754">
        <f>'B3 - COVID-19'!L154</f>
        <v>1230.7845266666668</v>
      </c>
      <c r="DR154" s="2754">
        <f>'B3 - COVID-19'!M154</f>
        <v>1157.3887666666667</v>
      </c>
      <c r="DS154" s="2754">
        <f>'B3 - COVID-19'!N154</f>
        <v>1233.9416366666669</v>
      </c>
      <c r="DT154" s="2754">
        <f>'B3 - COVID-19'!O154</f>
        <v>6838.7722299999996</v>
      </c>
      <c r="DU154" s="2755">
        <f>'B3 - COVID-19'!P154</f>
        <v>12738.70926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-259.74471250826878</v>
      </c>
      <c r="DP155" s="2759">
        <f>'B3 - COVID-19'!K155</f>
        <v>-754.70690198581724</v>
      </c>
      <c r="DQ155" s="2759">
        <f>'B3 - COVID-19'!L155</f>
        <v>-185.9634203191506</v>
      </c>
      <c r="DR155" s="2759">
        <f>'B3 - COVID-19'!M155</f>
        <v>-207.3341880307205</v>
      </c>
      <c r="DS155" s="2759">
        <f>'B3 - COVID-19'!N155</f>
        <v>-649.62253920803914</v>
      </c>
      <c r="DT155" s="2759">
        <f>'B3 - COVID-19'!O155</f>
        <v>-2133.9187889240065</v>
      </c>
      <c r="DU155" s="2760">
        <f>'B3 - COVID-19'!P155</f>
        <v>-4191.2905509760021</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186250</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305.39345999999995</v>
      </c>
      <c r="DU167" s="1862">
        <f>'B3 - COVID-19'!AF23</f>
        <v>523.53165999999987</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676.48237000000006</v>
      </c>
      <c r="DP168" s="2716">
        <f>'B3 - COVID-19'!AA24</f>
        <v>698.94535000000008</v>
      </c>
      <c r="DQ168" s="2716">
        <f>'B3 - COVID-19'!AB24</f>
        <v>698.94535000000008</v>
      </c>
      <c r="DR168" s="2716">
        <f>'B3 - COVID-19'!AC24</f>
        <v>653.89248999999995</v>
      </c>
      <c r="DS168" s="2716">
        <f>'B3 - COVID-19'!AD24</f>
        <v>698.94535000000008</v>
      </c>
      <c r="DT168" s="1862">
        <f>'B3 - COVID-19'!AE24</f>
        <v>4576.1410500000002</v>
      </c>
      <c r="DU168" s="1862">
        <f>'B3 - COVID-19'!AF24</f>
        <v>8003.35196</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15</v>
      </c>
      <c r="DP169" s="2716">
        <f>'B3 - COVID-19'!AA25</f>
        <v>15</v>
      </c>
      <c r="DQ169" s="2716">
        <f>'B3 - COVID-19'!AB25</f>
        <v>15</v>
      </c>
      <c r="DR169" s="2716">
        <f>'B3 - COVID-19'!AC25</f>
        <v>15</v>
      </c>
      <c r="DS169" s="2716">
        <f>'B3 - COVID-19'!AD25</f>
        <v>15</v>
      </c>
      <c r="DT169" s="1862">
        <f>'B3 - COVID-19'!AE25</f>
        <v>111.46537000000001</v>
      </c>
      <c r="DU169" s="1862">
        <f>'B3 - COVID-19'!AF25</f>
        <v>186.46537000000001</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0.01</v>
      </c>
      <c r="DP170" s="2716">
        <f>'B3 - COVID-19'!AA26</f>
        <v>0.01</v>
      </c>
      <c r="DQ170" s="2716">
        <f>'B3 - COVID-19'!AB26</f>
        <v>0.01</v>
      </c>
      <c r="DR170" s="2716">
        <f>'B3 - COVID-19'!AC26</f>
        <v>0.01</v>
      </c>
      <c r="DS170" s="2716">
        <f>'B3 - COVID-19'!AD26</f>
        <v>0.01</v>
      </c>
      <c r="DT170" s="1862">
        <f>'B3 - COVID-19'!AE26</f>
        <v>5.9635899999999991</v>
      </c>
      <c r="DU170" s="1862">
        <f>'B3 - COVID-19'!AF26</f>
        <v>6.013589999999998</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68.986679999999993</v>
      </c>
      <c r="DP171" s="2716">
        <f>'B3 - COVID-19'!AA27</f>
        <v>68.986679999999993</v>
      </c>
      <c r="DQ171" s="2716">
        <f>'B3 - COVID-19'!AB27</f>
        <v>68.986679999999993</v>
      </c>
      <c r="DR171" s="2716">
        <f>'B3 - COVID-19'!AC27</f>
        <v>68.986679999999993</v>
      </c>
      <c r="DS171" s="2716">
        <f>'B3 - COVID-19'!AD27</f>
        <v>68.986689999999982</v>
      </c>
      <c r="DT171" s="1862">
        <f>'B3 - COVID-19'!AE27</f>
        <v>390.46046999999999</v>
      </c>
      <c r="DU171" s="1862">
        <f>'B3 - COVID-19'!AF27</f>
        <v>735.39387999999985</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51.25</v>
      </c>
      <c r="DP172" s="2716">
        <f>'B3 - COVID-19'!AA28</f>
        <v>71.75</v>
      </c>
      <c r="DQ172" s="2716">
        <f>'B3 - COVID-19'!AB28</f>
        <v>61.5</v>
      </c>
      <c r="DR172" s="2716">
        <f>'B3 - COVID-19'!AC28</f>
        <v>41</v>
      </c>
      <c r="DS172" s="2716">
        <f>'B3 - COVID-19'!AD28</f>
        <v>20.5</v>
      </c>
      <c r="DT172" s="1862">
        <f>'B3 - COVID-19'!AE28</f>
        <v>204.42205000000001</v>
      </c>
      <c r="DU172" s="1862">
        <f>'B3 - COVID-19'!AF28</f>
        <v>450.42205000000001</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19.103549999999998</v>
      </c>
      <c r="DP173" s="2716">
        <f>'B3 - COVID-19'!AA29</f>
        <v>14.7408</v>
      </c>
      <c r="DQ173" s="2716">
        <f>'B3 - COVID-19'!AB29</f>
        <v>19.7408</v>
      </c>
      <c r="DR173" s="2716">
        <f>'B3 - COVID-19'!AC29</f>
        <v>14.7408</v>
      </c>
      <c r="DS173" s="2716">
        <f>'B3 - COVID-19'!AD29</f>
        <v>19.7408</v>
      </c>
      <c r="DT173" s="1862">
        <f>'B3 - COVID-19'!AE29</f>
        <v>12.484680000000001</v>
      </c>
      <c r="DU173" s="1862">
        <f>'B3 - COVID-19'!AF29</f>
        <v>100.55143000000001</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1.7000000000000001E-4</v>
      </c>
      <c r="DU175" s="1862">
        <f>'B3 - COVID-19'!AF31</f>
        <v>1.7000000000000001E-4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20.8</v>
      </c>
      <c r="DP176" s="2716">
        <f>'B3 - COVID-19'!AA32</f>
        <v>20.8</v>
      </c>
      <c r="DQ176" s="2716">
        <f>'B3 - COVID-19'!AB32</f>
        <v>20.8</v>
      </c>
      <c r="DR176" s="2716">
        <f>'B3 - COVID-19'!AC32</f>
        <v>20.8</v>
      </c>
      <c r="DS176" s="2716">
        <f>'B3 - COVID-19'!AD32</f>
        <v>20.8</v>
      </c>
      <c r="DT176" s="1862">
        <f>'B3 - COVID-19'!AE32</f>
        <v>0</v>
      </c>
      <c r="DU176" s="1862">
        <f>'B3 - COVID-19'!AF32</f>
        <v>104</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895.26024000000007</v>
      </c>
      <c r="DP178" s="2717">
        <f>'B3 - COVID-19'!AA34</f>
        <v>933.86047000000008</v>
      </c>
      <c r="DQ178" s="2717">
        <f>'B3 - COVID-19'!AB34</f>
        <v>988.61047000000008</v>
      </c>
      <c r="DR178" s="2717">
        <f>'B3 - COVID-19'!AC34</f>
        <v>918.05760999999995</v>
      </c>
      <c r="DS178" s="2717">
        <f>'B3 - COVID-19'!AD34</f>
        <v>947.61048000000005</v>
      </c>
      <c r="DT178" s="2717">
        <f>'B3 - COVID-19'!AE34</f>
        <v>5606.3308400000005</v>
      </c>
      <c r="DU178" s="2717">
        <f>'B3 - COVID-19'!AF34</f>
        <v>10289.730109999999</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2296.9166666666665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2296.9166666666665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-2296.9166666666665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-2296.9166666666665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571.89</v>
      </c>
      <c r="CH212" s="1109">
        <f>' Table Z Net Exp Profiles'!K212</f>
        <v>571.89</v>
      </c>
      <c r="CI212" s="1109">
        <f>' Table Z Net Exp Profiles'!L212</f>
        <v>571.89</v>
      </c>
      <c r="CJ212" s="1109">
        <f>' Table Z Net Exp Profiles'!M212</f>
        <v>571.89</v>
      </c>
      <c r="CK212" s="1109">
        <f>' Table Z Net Exp Profiles'!N212</f>
        <v>571.58999999999992</v>
      </c>
      <c r="CL212" s="1109">
        <f>' Table Z Net Exp Profiles'!O212</f>
        <v>4003.8409999999994</v>
      </c>
      <c r="CM212" s="1100">
        <f>' Table Z Net Exp Profiles'!P212</f>
        <v>6862.9910000000009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20889.223663333334</v>
      </c>
      <c r="CH226" s="1282">
        <f>' Table Z Net Exp Profiles'!K226</f>
        <v>20748.598436666667</v>
      </c>
      <c r="CI226" s="1282">
        <f>' Table Z Net Exp Profiles'!L226</f>
        <v>20485.784526666666</v>
      </c>
      <c r="CJ226" s="1282">
        <f>' Table Z Net Exp Profiles'!M226</f>
        <v>20628.388766666667</v>
      </c>
      <c r="CK226" s="1282">
        <f>' Table Z Net Exp Profiles'!N226</f>
        <v>23783.941636666666</v>
      </c>
      <c r="CL226" s="1231">
        <f>' Table Z Net Exp Profiles'!O226</f>
        <v>136907</v>
      </c>
      <c r="CM226" s="1100">
        <f>' Table Z Net Exp Profiles'!P226</f>
        <v>243442.93702999997</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I42" sqref="I42"/>
    </sheetView>
  </sheetViews>
  <sheetFormatPr defaultColWidth="8.81640625" defaultRowHeight="13.2"/>
  <cols>
    <col min="1" max="1" width="5.81640625" style="9" customWidth="1"/>
    <col min="2" max="2" width="47.81640625" style="9" customWidth="1"/>
    <col min="3" max="15" width="10.453125" style="9" customWidth="1"/>
    <col min="16" max="17" width="8.81640625" style="757"/>
    <col min="18" max="18" width="49" style="757" bestFit="1" customWidth="1"/>
    <col min="19" max="19" width="63.1796875" style="757" customWidth="1"/>
    <col min="20" max="16384" width="8.81640625" style="9"/>
  </cols>
  <sheetData>
    <row r="1" spans="1:37" ht="37.5" customHeight="1">
      <c r="A1" s="1357" t="str">
        <f>+Summary!A1</f>
        <v>Public Health Wales Trust</v>
      </c>
      <c r="B1" s="373"/>
      <c r="C1" s="80"/>
      <c r="D1" s="373" t="s">
        <v>460</v>
      </c>
      <c r="E1" s="1303" t="str">
        <f>Summary!H1</f>
        <v>Oct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7.399999999999999">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7.399999999999999">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7</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8"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40.200000000000003"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8"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('B3 - COVID-19'!J10+'B3 - COVID-19'!J53+'B3 - COVID-19'!J96)+6404+22</f>
        <v>6486.1922366666668</v>
      </c>
      <c r="K10" s="1326">
        <f>('B3 - COVID-19'!K10+'B3 - COVID-19'!K53+'B3 - COVID-19'!K96)+6438+19-1</f>
        <v>6512.3851966666671</v>
      </c>
      <c r="L10" s="1326">
        <f>('B3 - COVID-19'!L10+'B3 - COVID-19'!L53+'B3 - COVID-19'!L96)+6464+18-1</f>
        <v>6544.2173633333332</v>
      </c>
      <c r="M10" s="1326">
        <f>('B3 - COVID-19'!M10+'B3 - COVID-19'!M53+'B3 - COVID-19'!M96)+6494+14-2</f>
        <v>6566.3744633333336</v>
      </c>
      <c r="N10" s="1333">
        <f>('B3 - COVID-19'!N10+'B3 - COVID-19'!N53+'B3 - COVID-19'!N96)+6774+14</f>
        <v>6845.3744633333336</v>
      </c>
      <c r="O10" s="1131">
        <f>SUMPRODUCT($C$6:$N$6,C10:N10)</f>
        <v>46355</v>
      </c>
      <c r="P10" s="1322">
        <f>SUM(C10:N10)</f>
        <v>79309.543723333336</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v>1414</v>
      </c>
      <c r="K11" s="1325">
        <v>1406</v>
      </c>
      <c r="L11" s="1325">
        <v>1406</v>
      </c>
      <c r="M11" s="1325">
        <v>1406</v>
      </c>
      <c r="N11" s="1334">
        <v>1441</v>
      </c>
      <c r="O11" s="1323">
        <f t="shared" ref="O11:O18" si="1">SUMPRODUCT($C$6:$N$6,C11:N11)</f>
        <v>9442</v>
      </c>
      <c r="P11" s="1324">
        <f t="shared" ref="P11:P18" si="2">SUM(C11:N11)</f>
        <v>16515</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'B3 - COVID-19'!J55+526</f>
        <v>542.92166666666662</v>
      </c>
      <c r="K12" s="1325">
        <f>'B3 - COVID-19'!K55+526</f>
        <v>542.92166666666662</v>
      </c>
      <c r="L12" s="1325">
        <f>'B3 - COVID-19'!L55+526</f>
        <v>542.92166666666662</v>
      </c>
      <c r="M12" s="1325">
        <f>'B3 - COVID-19'!M55+497</f>
        <v>513.92166666666662</v>
      </c>
      <c r="N12" s="1334">
        <f>'B3 - COVID-19'!N55+497</f>
        <v>513.92166666666662</v>
      </c>
      <c r="O12" s="1323">
        <f t="shared" si="1"/>
        <v>3665</v>
      </c>
      <c r="P12" s="1324">
        <f t="shared" si="2"/>
        <v>6321.6083333333354</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('B3 - COVID-19'!J14+'B3 - COVID-19'!J57+'B3 - COVID-19'!J100)+309</f>
        <v>311.62175000000002</v>
      </c>
      <c r="K14" s="1325">
        <f>('B3 - COVID-19'!K14+'B3 - COVID-19'!K57+'B3 - COVID-19'!K100)+309</f>
        <v>311.62175000000002</v>
      </c>
      <c r="L14" s="1325">
        <f>('B3 - COVID-19'!L14+'B3 - COVID-19'!L57+'B3 - COVID-19'!L100)+309</f>
        <v>311.62175000000002</v>
      </c>
      <c r="M14" s="1325">
        <f>('B3 - COVID-19'!M14+'B3 - COVID-19'!M57+'B3 - COVID-19'!M100)+309</f>
        <v>311.62175000000002</v>
      </c>
      <c r="N14" s="1325">
        <f>('B3 - COVID-19'!N14+'B3 - COVID-19'!N57+'B3 - COVID-19'!N100)+309</f>
        <v>311.62175000000002</v>
      </c>
      <c r="O14" s="1323">
        <f t="shared" si="1"/>
        <v>2318</v>
      </c>
      <c r="P14" s="1324">
        <f t="shared" si="2"/>
        <v>3876.1087500000012</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v>1181</v>
      </c>
      <c r="K15" s="1325">
        <v>1181</v>
      </c>
      <c r="L15" s="1325">
        <v>1185</v>
      </c>
      <c r="M15" s="1325">
        <v>1182</v>
      </c>
      <c r="N15" s="1334">
        <v>1182</v>
      </c>
      <c r="O15" s="1323">
        <f t="shared" si="1"/>
        <v>7398</v>
      </c>
      <c r="P15" s="1324">
        <f t="shared" si="2"/>
        <v>13309</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('B3 - COVID-19'!J16+'B3 - COVID-19'!J59)+1588</f>
        <v>1641.0209199999999</v>
      </c>
      <c r="K16" s="1325">
        <f>('B3 - COVID-19'!K16+'B3 - COVID-19'!K59)+1588</f>
        <v>1635.6025033333333</v>
      </c>
      <c r="L16" s="1325">
        <f>('B3 - COVID-19'!L16+'B3 - COVID-19'!L59)+1588</f>
        <v>1635.6025033333333</v>
      </c>
      <c r="M16" s="1325">
        <f>('B3 - COVID-19'!M16+'B3 - COVID-19'!M59)+1588</f>
        <v>1635.6025033333333</v>
      </c>
      <c r="N16" s="1334">
        <f>('B3 - COVID-19'!N16+'B3 - COVID-19'!N59)+1605</f>
        <v>1652.6025033333333</v>
      </c>
      <c r="O16" s="1323">
        <f t="shared" si="1"/>
        <v>12026</v>
      </c>
      <c r="P16" s="1324">
        <f t="shared" si="2"/>
        <v>20226.430933333329</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f>14-SUM($C17:F17)</f>
        <v>1</v>
      </c>
      <c r="H17" s="1325">
        <f>16-SUM($C17:G17)</f>
        <v>2</v>
      </c>
      <c r="I17" s="1325">
        <f>17-SUM($C17:H17)</f>
        <v>1</v>
      </c>
      <c r="J17" s="1325">
        <v>2</v>
      </c>
      <c r="K17" s="1325">
        <v>2</v>
      </c>
      <c r="L17" s="1325">
        <v>2</v>
      </c>
      <c r="M17" s="1325">
        <v>2</v>
      </c>
      <c r="N17" s="1334">
        <v>2</v>
      </c>
      <c r="O17" s="1323">
        <f t="shared" si="1"/>
        <v>17</v>
      </c>
      <c r="P17" s="1324">
        <f t="shared" si="2"/>
        <v>27</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11578.756573333332</v>
      </c>
      <c r="K19" s="1341">
        <f t="shared" si="3"/>
        <v>11591.531116666667</v>
      </c>
      <c r="L19" s="1341">
        <f t="shared" si="3"/>
        <v>11627.363283333334</v>
      </c>
      <c r="M19" s="1341">
        <f t="shared" si="3"/>
        <v>11617.520383333334</v>
      </c>
      <c r="N19" s="1342">
        <f t="shared" si="3"/>
        <v>11948.520383333334</v>
      </c>
      <c r="O19" s="1343">
        <f t="shared" si="3"/>
        <v>81221</v>
      </c>
      <c r="P19" s="1344">
        <f>SUM(P10:P18)</f>
        <v>139584.69174000001</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11578.756573333334</v>
      </c>
      <c r="K24" s="1569">
        <f>'B - Monthly Positions'!L20</f>
        <v>11591.531116666667</v>
      </c>
      <c r="L24" s="1569">
        <f>'B - Monthly Positions'!M20</f>
        <v>11627.363283333334</v>
      </c>
      <c r="M24" s="1569">
        <f>'B - Monthly Positions'!N20</f>
        <v>11617.520383333334</v>
      </c>
      <c r="N24" s="2478">
        <f>'B - Monthly Positions'!O20</f>
        <v>11948.520383333334</v>
      </c>
      <c r="O24" s="1131">
        <f>SUMPRODUCT($C$6:$N$6,C24:N24)</f>
        <v>81221</v>
      </c>
      <c r="P24" s="1322">
        <f>SUM(C24:N24)</f>
        <v>139584.69174000001</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11578.756573333334</v>
      </c>
      <c r="K26" s="1345">
        <f t="shared" si="4"/>
        <v>11591.531116666667</v>
      </c>
      <c r="L26" s="1345">
        <f t="shared" si="4"/>
        <v>11627.363283333334</v>
      </c>
      <c r="M26" s="1345">
        <f t="shared" si="4"/>
        <v>11617.520383333334</v>
      </c>
      <c r="N26" s="1344">
        <f t="shared" si="4"/>
        <v>11948.520383333334</v>
      </c>
      <c r="O26" s="1343">
        <f>SUM(O24:O25)</f>
        <v>81221</v>
      </c>
      <c r="P26" s="1344">
        <f>SUM(P24:P25)</f>
        <v>139584.69174000001</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AVERAGE(C33:I33)</f>
        <v>142.71428571428572</v>
      </c>
      <c r="K33" s="1326">
        <f t="shared" ref="K33:N33" si="6">J33</f>
        <v>142.71428571428572</v>
      </c>
      <c r="L33" s="1326">
        <f t="shared" si="6"/>
        <v>142.71428571428572</v>
      </c>
      <c r="M33" s="1326">
        <f t="shared" si="6"/>
        <v>142.71428571428572</v>
      </c>
      <c r="N33" s="1326">
        <f t="shared" si="6"/>
        <v>142.71428571428572</v>
      </c>
      <c r="O33" s="1131">
        <f t="shared" ref="O33:O41" si="7">SUMPRODUCT($C$6:$N$6,C33:N33)</f>
        <v>999</v>
      </c>
      <c r="P33" s="1322">
        <f t="shared" ref="P33:P41" si="8">SUM(C33:N33)</f>
        <v>1712.5714285714289</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 t="shared" ref="J34:J41" si="9">AVERAGE(C34:I34)</f>
        <v>18.714285714285715</v>
      </c>
      <c r="K34" s="1326">
        <f t="shared" ref="D34:N41" si="10">J34</f>
        <v>18.714285714285715</v>
      </c>
      <c r="L34" s="1326">
        <f t="shared" si="10"/>
        <v>18.714285714285715</v>
      </c>
      <c r="M34" s="1326">
        <f t="shared" si="10"/>
        <v>18.714285714285715</v>
      </c>
      <c r="N34" s="1326">
        <f t="shared" si="10"/>
        <v>18.714285714285715</v>
      </c>
      <c r="O34" s="1323">
        <f t="shared" si="7"/>
        <v>131</v>
      </c>
      <c r="P34" s="1324">
        <f t="shared" si="8"/>
        <v>224.57142857142861</v>
      </c>
      <c r="Q34" s="608"/>
      <c r="R34" s="608"/>
      <c r="S34" s="608"/>
      <c r="T34" s="80"/>
      <c r="U34" s="80"/>
      <c r="V34" s="80"/>
      <c r="W34" s="80"/>
      <c r="X34" s="80"/>
      <c r="Y34" s="80"/>
      <c r="Z34" s="80"/>
      <c r="AA34" s="80"/>
      <c r="AB34" s="80"/>
      <c r="AC34" s="80"/>
      <c r="AD34" s="80"/>
      <c r="AE34" s="80"/>
      <c r="AF34" s="80"/>
      <c r="AG34" s="80"/>
      <c r="AH34" s="80"/>
      <c r="AI34" s="80"/>
      <c r="AJ34" s="80"/>
      <c r="AK34" s="80"/>
    </row>
    <row r="35" spans="1:37" ht="13.2" customHeight="1">
      <c r="A35" s="1328">
        <v>3</v>
      </c>
      <c r="B35" s="1332" t="s">
        <v>420</v>
      </c>
      <c r="C35" s="1330">
        <v>3</v>
      </c>
      <c r="D35" s="1326">
        <f>3-C35</f>
        <v>0</v>
      </c>
      <c r="E35" s="1326">
        <f>3-SUM(C35:D35)</f>
        <v>0</v>
      </c>
      <c r="F35" s="1326">
        <f>3-SUM(C35:E35)</f>
        <v>0</v>
      </c>
      <c r="G35" s="1326">
        <f>3-SUM(C35:F35)</f>
        <v>0</v>
      </c>
      <c r="H35" s="1326">
        <f>3-SUM(C35:G35)</f>
        <v>0</v>
      </c>
      <c r="I35" s="1326">
        <f>3-SUM(C35:H35)</f>
        <v>0</v>
      </c>
      <c r="J35" s="1326">
        <f t="shared" si="9"/>
        <v>0.42857142857142855</v>
      </c>
      <c r="K35" s="1326">
        <f t="shared" si="10"/>
        <v>0.42857142857142855</v>
      </c>
      <c r="L35" s="1326">
        <f t="shared" si="10"/>
        <v>0.42857142857142855</v>
      </c>
      <c r="M35" s="1326">
        <f t="shared" si="10"/>
        <v>0.42857142857142855</v>
      </c>
      <c r="N35" s="1326">
        <f t="shared" si="10"/>
        <v>0.42857142857142855</v>
      </c>
      <c r="O35" s="1323">
        <f t="shared" si="7"/>
        <v>3</v>
      </c>
      <c r="P35" s="1324">
        <f t="shared" si="8"/>
        <v>5.1428571428571432</v>
      </c>
      <c r="Q35" s="608"/>
      <c r="R35" s="608"/>
      <c r="S35" s="608"/>
      <c r="T35" s="80"/>
      <c r="U35" s="80"/>
      <c r="V35" s="80"/>
      <c r="W35" s="80"/>
      <c r="X35" s="80"/>
      <c r="Y35" s="80"/>
      <c r="Z35" s="80"/>
      <c r="AA35" s="80"/>
      <c r="AB35" s="80"/>
      <c r="AC35" s="80"/>
      <c r="AD35" s="80"/>
      <c r="AE35" s="80"/>
      <c r="AF35" s="80"/>
      <c r="AG35" s="80"/>
      <c r="AH35" s="80"/>
      <c r="AI35" s="80"/>
      <c r="AJ35" s="80"/>
      <c r="AK35" s="80"/>
    </row>
    <row r="36" spans="1:37" ht="13.2" customHeight="1">
      <c r="A36" s="1328">
        <v>4</v>
      </c>
      <c r="B36" s="1332" t="s">
        <v>421</v>
      </c>
      <c r="C36" s="1330"/>
      <c r="D36" s="1326">
        <f t="shared" si="10"/>
        <v>0</v>
      </c>
      <c r="E36" s="1326">
        <f t="shared" si="10"/>
        <v>0</v>
      </c>
      <c r="F36" s="1326">
        <f t="shared" ref="F36:F41" si="11">AVERAGE(C36:E36)</f>
        <v>0</v>
      </c>
      <c r="G36" s="1326">
        <v>0</v>
      </c>
      <c r="H36" s="1326">
        <v>0</v>
      </c>
      <c r="I36" s="1326">
        <v>0</v>
      </c>
      <c r="J36" s="1326">
        <f t="shared" si="9"/>
        <v>0</v>
      </c>
      <c r="K36" s="1326">
        <f t="shared" si="10"/>
        <v>0</v>
      </c>
      <c r="L36" s="1326">
        <f t="shared" si="10"/>
        <v>0</v>
      </c>
      <c r="M36" s="1326">
        <f t="shared" si="10"/>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 t="shared" si="9"/>
        <v>20.857142857142858</v>
      </c>
      <c r="K37" s="1326">
        <f t="shared" si="10"/>
        <v>20.857142857142858</v>
      </c>
      <c r="L37" s="1326">
        <f t="shared" si="10"/>
        <v>20.857142857142858</v>
      </c>
      <c r="M37" s="1326">
        <f t="shared" si="10"/>
        <v>20.857142857142858</v>
      </c>
      <c r="N37" s="1326">
        <f t="shared" si="10"/>
        <v>20.857142857142858</v>
      </c>
      <c r="O37" s="1323">
        <f t="shared" si="7"/>
        <v>146</v>
      </c>
      <c r="P37" s="1324">
        <f t="shared" si="8"/>
        <v>250.28571428571431</v>
      </c>
      <c r="Q37" s="608"/>
      <c r="R37" s="608"/>
      <c r="S37" s="608"/>
      <c r="T37" s="80"/>
      <c r="U37" s="80"/>
      <c r="V37" s="80"/>
      <c r="W37" s="80"/>
      <c r="X37" s="80"/>
      <c r="Y37" s="80"/>
      <c r="Z37" s="80"/>
      <c r="AA37" s="80"/>
      <c r="AB37" s="80"/>
      <c r="AC37" s="80"/>
      <c r="AD37" s="80"/>
      <c r="AE37" s="80"/>
      <c r="AF37" s="80"/>
      <c r="AG37" s="80"/>
      <c r="AH37" s="80"/>
      <c r="AI37" s="80"/>
      <c r="AJ37" s="80"/>
      <c r="AK37" s="80"/>
    </row>
    <row r="38" spans="1:37" ht="13.2" customHeight="1">
      <c r="A38" s="1328">
        <v>6</v>
      </c>
      <c r="B38" s="1332" t="s">
        <v>364</v>
      </c>
      <c r="C38" s="1330"/>
      <c r="D38" s="1326">
        <f t="shared" si="10"/>
        <v>0</v>
      </c>
      <c r="E38" s="1326">
        <f>-2-SUM(C38:D38)</f>
        <v>-2</v>
      </c>
      <c r="F38" s="1326">
        <f>-3-SUM(C38:E38)</f>
        <v>-1</v>
      </c>
      <c r="G38" s="1326">
        <f>-13-SUM(C38:F38)</f>
        <v>-10</v>
      </c>
      <c r="H38" s="1326">
        <f>-14-SUM(C38:G38)</f>
        <v>-1</v>
      </c>
      <c r="I38" s="1326">
        <f>-14-SUM(C38:H38)</f>
        <v>0</v>
      </c>
      <c r="J38" s="1326">
        <f t="shared" si="9"/>
        <v>-2.3333333333333335</v>
      </c>
      <c r="K38" s="1326">
        <f t="shared" si="10"/>
        <v>-2.3333333333333335</v>
      </c>
      <c r="L38" s="1326">
        <f t="shared" si="10"/>
        <v>-2.3333333333333335</v>
      </c>
      <c r="M38" s="1326">
        <f t="shared" si="10"/>
        <v>-2.3333333333333335</v>
      </c>
      <c r="N38" s="1326">
        <f t="shared" si="10"/>
        <v>-2.3333333333333335</v>
      </c>
      <c r="O38" s="1323">
        <f t="shared" si="7"/>
        <v>-14</v>
      </c>
      <c r="P38" s="1324">
        <f t="shared" si="8"/>
        <v>-25.666666666666661</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 t="shared" si="9"/>
        <v>72.714285714285708</v>
      </c>
      <c r="K39" s="1326">
        <f t="shared" si="10"/>
        <v>72.714285714285708</v>
      </c>
      <c r="L39" s="1326">
        <f t="shared" si="10"/>
        <v>72.714285714285708</v>
      </c>
      <c r="M39" s="1326">
        <f t="shared" si="10"/>
        <v>72.714285714285708</v>
      </c>
      <c r="N39" s="1326">
        <f t="shared" si="10"/>
        <v>72.714285714285708</v>
      </c>
      <c r="O39" s="1323">
        <f t="shared" si="7"/>
        <v>509</v>
      </c>
      <c r="P39" s="1324">
        <f t="shared" si="8"/>
        <v>872.57142857142833</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7-SUM(C40:F40)</f>
        <v>0</v>
      </c>
      <c r="H40" s="1326">
        <f>7-SUM(C40:G40)</f>
        <v>0</v>
      </c>
      <c r="I40" s="1326">
        <f>7-SUM(C40:H40)</f>
        <v>0</v>
      </c>
      <c r="J40" s="1326">
        <f t="shared" si="9"/>
        <v>1</v>
      </c>
      <c r="K40" s="1326">
        <f t="shared" si="10"/>
        <v>1</v>
      </c>
      <c r="L40" s="1326">
        <f t="shared" si="10"/>
        <v>1</v>
      </c>
      <c r="M40" s="1326">
        <f t="shared" si="10"/>
        <v>1</v>
      </c>
      <c r="N40" s="1326">
        <f t="shared" si="10"/>
        <v>1</v>
      </c>
      <c r="O40" s="1323">
        <f t="shared" si="7"/>
        <v>7</v>
      </c>
      <c r="P40" s="1324">
        <f t="shared" si="8"/>
        <v>12</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8">
        <v>9</v>
      </c>
      <c r="B41" s="1359" t="s">
        <v>424</v>
      </c>
      <c r="C41" s="1335"/>
      <c r="D41" s="1326">
        <f t="shared" si="10"/>
        <v>0</v>
      </c>
      <c r="E41" s="1326">
        <f t="shared" si="10"/>
        <v>0</v>
      </c>
      <c r="F41" s="1326">
        <f t="shared" si="11"/>
        <v>0</v>
      </c>
      <c r="G41" s="1326">
        <v>0</v>
      </c>
      <c r="H41" s="1326">
        <v>0</v>
      </c>
      <c r="I41" s="1326">
        <v>0</v>
      </c>
      <c r="J41" s="1326">
        <f t="shared" si="9"/>
        <v>0</v>
      </c>
      <c r="K41" s="1326">
        <f t="shared" si="10"/>
        <v>0</v>
      </c>
      <c r="L41" s="1326">
        <f t="shared" si="10"/>
        <v>0</v>
      </c>
      <c r="M41" s="1326">
        <f t="shared" si="10"/>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2">
        <v>10</v>
      </c>
      <c r="B42" s="1356" t="s">
        <v>528</v>
      </c>
      <c r="C42" s="1340">
        <f>SUM(C33:C41)</f>
        <v>278</v>
      </c>
      <c r="D42" s="1341">
        <f t="shared" ref="D42:P42" si="12">SUM(D33:D41)</f>
        <v>308</v>
      </c>
      <c r="E42" s="1341">
        <f t="shared" si="12"/>
        <v>262</v>
      </c>
      <c r="F42" s="1341">
        <f t="shared" si="12"/>
        <v>311</v>
      </c>
      <c r="G42" s="1341">
        <f t="shared" si="12"/>
        <v>310</v>
      </c>
      <c r="H42" s="1341">
        <f t="shared" si="12"/>
        <v>203</v>
      </c>
      <c r="I42" s="1341">
        <f t="shared" si="12"/>
        <v>109</v>
      </c>
      <c r="J42" s="1341">
        <f t="shared" si="12"/>
        <v>254.09523809523807</v>
      </c>
      <c r="K42" s="1341">
        <f t="shared" si="12"/>
        <v>254.09523809523807</v>
      </c>
      <c r="L42" s="1341">
        <f t="shared" si="12"/>
        <v>254.09523809523807</v>
      </c>
      <c r="M42" s="1341">
        <f t="shared" si="12"/>
        <v>254.09523809523807</v>
      </c>
      <c r="N42" s="1342">
        <f t="shared" si="12"/>
        <v>254.09523809523807</v>
      </c>
      <c r="O42" s="1343">
        <f t="shared" si="12"/>
        <v>1781</v>
      </c>
      <c r="P42" s="1344">
        <f t="shared" si="12"/>
        <v>3051.4761904761908</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2.6793431287813311E-2</v>
      </c>
      <c r="H44" s="1353">
        <f t="shared" si="13"/>
        <v>1.8026818222182755E-2</v>
      </c>
      <c r="I44" s="1353">
        <f t="shared" si="13"/>
        <v>9.3618483208794991E-3</v>
      </c>
      <c r="J44" s="1353">
        <f t="shared" si="13"/>
        <v>2.1944950348160595E-2</v>
      </c>
      <c r="K44" s="1353">
        <f t="shared" si="13"/>
        <v>2.1920765733000704E-2</v>
      </c>
      <c r="L44" s="1353">
        <f t="shared" si="13"/>
        <v>2.1853212280677447E-2</v>
      </c>
      <c r="M44" s="1353">
        <f t="shared" si="13"/>
        <v>2.1871727331743428E-2</v>
      </c>
      <c r="N44" s="1353">
        <f t="shared" si="13"/>
        <v>2.1265832918498311E-2</v>
      </c>
      <c r="O44" s="1353">
        <f t="shared" si="13"/>
        <v>2.1927826547321505E-2</v>
      </c>
      <c r="P44" s="1354">
        <f t="shared" si="13"/>
        <v>2.1861109212176925E-2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v>304</v>
      </c>
      <c r="H52" s="1326">
        <v>197</v>
      </c>
      <c r="I52" s="1326">
        <v>103</v>
      </c>
      <c r="J52" s="1326">
        <f>AVERAGE(C52:I52)</f>
        <v>247.85714285714286</v>
      </c>
      <c r="K52" s="1326">
        <f t="shared" ref="K52:N52" si="14">J52</f>
        <v>247.85714285714286</v>
      </c>
      <c r="L52" s="1326">
        <f t="shared" si="14"/>
        <v>247.85714285714286</v>
      </c>
      <c r="M52" s="1326">
        <f t="shared" si="14"/>
        <v>247.85714285714286</v>
      </c>
      <c r="N52" s="1326">
        <f t="shared" si="14"/>
        <v>247.85714285714286</v>
      </c>
      <c r="O52" s="1131">
        <f>SUMPRODUCT($C$6:$N$6,C52:N52)</f>
        <v>1735</v>
      </c>
      <c r="P52" s="1322">
        <f>SUM(C52:N52)</f>
        <v>2974.2857142857138</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v>6</v>
      </c>
      <c r="H53" s="1325">
        <v>6</v>
      </c>
      <c r="I53" s="1325">
        <v>6</v>
      </c>
      <c r="J53" s="1325">
        <f>AVERAGE(C53:I53)</f>
        <v>6.5714285714285712</v>
      </c>
      <c r="K53" s="1325">
        <f t="shared" ref="K53:N53" si="15">J53</f>
        <v>6.5714285714285712</v>
      </c>
      <c r="L53" s="1325">
        <f t="shared" si="15"/>
        <v>6.5714285714285712</v>
      </c>
      <c r="M53" s="1325">
        <f t="shared" si="15"/>
        <v>6.5714285714285712</v>
      </c>
      <c r="N53" s="1325">
        <f t="shared" si="15"/>
        <v>6.5714285714285712</v>
      </c>
      <c r="O53" s="1323">
        <f t="shared" ref="O53:O64" si="16">SUMPRODUCT($C$6:$N$6,C53:N53)</f>
        <v>46</v>
      </c>
      <c r="P53" s="1324">
        <f t="shared" ref="P53:P64" si="17">SUM(C53:N53)</f>
        <v>78.857142857142847</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2">
        <f>A63+1</f>
        <v>13</v>
      </c>
      <c r="B65" s="1356" t="s">
        <v>528</v>
      </c>
      <c r="C65" s="1340">
        <f t="shared" ref="C65:P65" si="19">SUM(C52:C64)</f>
        <v>278</v>
      </c>
      <c r="D65" s="1341">
        <f t="shared" si="19"/>
        <v>308</v>
      </c>
      <c r="E65" s="1341">
        <f t="shared" si="19"/>
        <v>262</v>
      </c>
      <c r="F65" s="1341">
        <f t="shared" si="19"/>
        <v>311</v>
      </c>
      <c r="G65" s="1341">
        <f t="shared" si="19"/>
        <v>310</v>
      </c>
      <c r="H65" s="1341">
        <f t="shared" si="19"/>
        <v>203</v>
      </c>
      <c r="I65" s="1341">
        <f t="shared" si="19"/>
        <v>109</v>
      </c>
      <c r="J65" s="1341">
        <f t="shared" si="19"/>
        <v>254.42857142857144</v>
      </c>
      <c r="K65" s="1341">
        <f t="shared" si="19"/>
        <v>254.42857142857144</v>
      </c>
      <c r="L65" s="1341">
        <f t="shared" si="19"/>
        <v>254.42857142857144</v>
      </c>
      <c r="M65" s="1341">
        <f t="shared" si="19"/>
        <v>254.42857142857144</v>
      </c>
      <c r="N65" s="1342">
        <f t="shared" si="19"/>
        <v>254.42857142857144</v>
      </c>
      <c r="O65" s="1343">
        <f t="shared" si="19"/>
        <v>1781</v>
      </c>
      <c r="P65" s="1344">
        <f t="shared" si="19"/>
        <v>3053.1428571428564</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H6" zoomScale="70" zoomScaleNormal="70" workbookViewId="0">
      <selection activeCell="P144" sqref="P144"/>
    </sheetView>
  </sheetViews>
  <sheetFormatPr defaultColWidth="8.81640625" defaultRowHeight="13.2"/>
  <cols>
    <col min="1" max="1" width="5.81640625" style="9" customWidth="1"/>
    <col min="2" max="2" width="116.08984375" style="9" bestFit="1" customWidth="1"/>
    <col min="3" max="15" width="10.453125" style="9" customWidth="1"/>
    <col min="16" max="17" width="8.81640625" style="757"/>
    <col min="18" max="18" width="62.81640625" style="757" customWidth="1"/>
    <col min="19" max="19" width="8.81640625" style="757" customWidth="1"/>
    <col min="20" max="31" width="8.81640625" style="9"/>
    <col min="32" max="32" width="11.08984375" style="9" customWidth="1"/>
    <col min="33" max="16384" width="8.81640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Oct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7</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2"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0</v>
      </c>
      <c r="K4" s="107">
        <f t="shared" si="0"/>
        <v>0</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8"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40.200000000000003"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8"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8"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29.555903333333337</v>
      </c>
      <c r="K10" s="1903">
        <v>25.748863333333336</v>
      </c>
      <c r="L10" s="1903">
        <v>28.636113333333334</v>
      </c>
      <c r="M10" s="1903">
        <v>25.793213333333334</v>
      </c>
      <c r="N10" s="1904">
        <v>22.793213333333334</v>
      </c>
      <c r="O10" s="1862">
        <f t="shared" ref="O10:O18" si="2">SUMPRODUCT($C$4:$N$4,C10:N10)</f>
        <v>211.77920000000003</v>
      </c>
      <c r="P10" s="1863">
        <f t="shared" ref="P10:P18" si="3">SUM(C10:N10)</f>
        <v>344.30650666666668</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2.62175</v>
      </c>
      <c r="K14" s="1326">
        <v>2.62175</v>
      </c>
      <c r="L14" s="1326">
        <v>2.62175</v>
      </c>
      <c r="M14" s="1326">
        <v>2.62175</v>
      </c>
      <c r="N14" s="1333">
        <v>2.62175</v>
      </c>
      <c r="O14" s="1862">
        <f t="shared" si="2"/>
        <v>20.963700000000003</v>
      </c>
      <c r="P14" s="1863">
        <f t="shared" si="3"/>
        <v>34.072449999999996</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29.772086666666663</v>
      </c>
      <c r="K16" s="1326">
        <v>29.772086666666663</v>
      </c>
      <c r="L16" s="1326">
        <v>29.772086666666663</v>
      </c>
      <c r="M16" s="1326">
        <v>29.772086666666663</v>
      </c>
      <c r="N16" s="1333">
        <v>29.772086666666663</v>
      </c>
      <c r="O16" s="1862">
        <f t="shared" si="2"/>
        <v>211.45232999999999</v>
      </c>
      <c r="P16" s="1863">
        <f t="shared" si="3"/>
        <v>360.31276333333329</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8"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61.949740000000006</v>
      </c>
      <c r="K19" s="1907">
        <f t="shared" si="4"/>
        <v>58.142699999999998</v>
      </c>
      <c r="L19" s="1907">
        <f t="shared" si="4"/>
        <v>61.029949999999999</v>
      </c>
      <c r="M19" s="1907">
        <f t="shared" si="4"/>
        <v>58.187049999999999</v>
      </c>
      <c r="N19" s="1907">
        <f t="shared" si="4"/>
        <v>55.187049999999999</v>
      </c>
      <c r="O19" s="1907">
        <f>SUM(O10:O18)</f>
        <v>444.19523000000004</v>
      </c>
      <c r="P19" s="1908">
        <f t="shared" si="4"/>
        <v>738.69172000000003</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8"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895.26024000000007</v>
      </c>
      <c r="K23" s="2899">
        <f t="shared" si="9"/>
        <v>933.86047000000008</v>
      </c>
      <c r="L23" s="2899">
        <f t="shared" si="9"/>
        <v>988.61047000000008</v>
      </c>
      <c r="M23" s="2899">
        <f t="shared" si="9"/>
        <v>918.05760999999995</v>
      </c>
      <c r="N23" s="2899">
        <f t="shared" si="9"/>
        <v>947.61048000000005</v>
      </c>
      <c r="O23" s="1862">
        <f t="shared" si="5"/>
        <v>5606.3308400000005</v>
      </c>
      <c r="P23" s="1863">
        <f t="shared" si="6"/>
        <v>10289.730109999999</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43.62764</v>
      </c>
      <c r="AA23" s="1326">
        <v>43.62764</v>
      </c>
      <c r="AB23" s="1326">
        <v>43.62764</v>
      </c>
      <c r="AC23" s="1326">
        <v>43.62764</v>
      </c>
      <c r="AD23" s="1333">
        <v>43.62764</v>
      </c>
      <c r="AE23" s="1862">
        <f t="shared" si="7"/>
        <v>305.39345999999995</v>
      </c>
      <c r="AF23" s="1863">
        <f t="shared" si="8"/>
        <v>523.53165999999987</v>
      </c>
      <c r="AG23" s="80"/>
      <c r="AH23" s="80"/>
      <c r="AI23" s="80"/>
      <c r="AJ23" s="80"/>
    </row>
    <row r="24" spans="1:36">
      <c r="A24" s="1896">
        <f t="shared" si="1"/>
        <v>17</v>
      </c>
      <c r="B24" s="1905" t="s">
        <v>464</v>
      </c>
      <c r="C24" s="1330">
        <v>18.600000000000001</v>
      </c>
      <c r="D24" s="1325">
        <v>18.600000000000001</v>
      </c>
      <c r="E24" s="1325">
        <v>0</v>
      </c>
      <c r="F24" s="1325">
        <v>-7.3</v>
      </c>
      <c r="G24" s="1325">
        <v>-0.6</v>
      </c>
      <c r="H24" s="1325">
        <v>-1.425</v>
      </c>
      <c r="I24" s="1325">
        <v>0</v>
      </c>
      <c r="J24" s="1325">
        <v>40.012999999999998</v>
      </c>
      <c r="K24" s="1325">
        <v>40.012999999999998</v>
      </c>
      <c r="L24" s="1325">
        <v>40.012999999999998</v>
      </c>
      <c r="M24" s="1325">
        <v>40.012999999999998</v>
      </c>
      <c r="N24" s="1334">
        <v>40.012999999999998</v>
      </c>
      <c r="O24" s="1323">
        <f t="shared" si="5"/>
        <v>27.875</v>
      </c>
      <c r="P24" s="1324">
        <f t="shared" si="6"/>
        <v>227.94000000000003</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676.48237000000006</v>
      </c>
      <c r="AA24" s="1326">
        <v>698.94535000000008</v>
      </c>
      <c r="AB24" s="1326">
        <v>698.94535000000008</v>
      </c>
      <c r="AC24" s="1326">
        <v>653.89248999999995</v>
      </c>
      <c r="AD24" s="1333">
        <v>698.94535000000008</v>
      </c>
      <c r="AE24" s="1862">
        <f t="shared" si="7"/>
        <v>4576.1410500000002</v>
      </c>
      <c r="AF24" s="1863">
        <f t="shared" si="8"/>
        <v>8003.35196</v>
      </c>
      <c r="AG24" s="80"/>
      <c r="AH24" s="80"/>
      <c r="AI24" s="80"/>
      <c r="AJ24" s="80"/>
    </row>
    <row r="25" spans="1:36">
      <c r="A25" s="1896">
        <f t="shared" si="1"/>
        <v>18</v>
      </c>
      <c r="B25" s="1905" t="s">
        <v>465</v>
      </c>
      <c r="C25" s="1330"/>
      <c r="D25" s="1325"/>
      <c r="E25" s="1325"/>
      <c r="F25" s="1325"/>
      <c r="G25" s="1325"/>
      <c r="H25" s="1325">
        <v>0</v>
      </c>
      <c r="I25" s="1325">
        <v>47.095999999999997</v>
      </c>
      <c r="J25" s="1325">
        <v>0</v>
      </c>
      <c r="K25" s="1325">
        <v>0</v>
      </c>
      <c r="L25" s="1325">
        <v>0</v>
      </c>
      <c r="M25" s="1325">
        <v>0</v>
      </c>
      <c r="N25" s="1334">
        <v>50</v>
      </c>
      <c r="O25" s="1323">
        <f t="shared" si="5"/>
        <v>47.095999999999997</v>
      </c>
      <c r="P25" s="1324">
        <f t="shared" si="6"/>
        <v>97.096000000000004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15</v>
      </c>
      <c r="AA25" s="1325">
        <v>15</v>
      </c>
      <c r="AB25" s="1325">
        <v>15</v>
      </c>
      <c r="AC25" s="1325">
        <v>15</v>
      </c>
      <c r="AD25" s="1334">
        <v>15</v>
      </c>
      <c r="AE25" s="1323">
        <f t="shared" si="7"/>
        <v>111.46537000000001</v>
      </c>
      <c r="AF25" s="1324">
        <f t="shared" si="8"/>
        <v>186.46537000000001</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0.01</v>
      </c>
      <c r="AA26" s="1325">
        <v>0.01</v>
      </c>
      <c r="AB26" s="1325">
        <v>0.01</v>
      </c>
      <c r="AC26" s="1325">
        <v>0.01</v>
      </c>
      <c r="AD26" s="1334">
        <v>0.01</v>
      </c>
      <c r="AE26" s="1323">
        <f t="shared" si="7"/>
        <v>5.9635899999999991</v>
      </c>
      <c r="AF26" s="1324">
        <f t="shared" si="8"/>
        <v>6.013589999999998</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68.986679999999993</v>
      </c>
      <c r="AA27" s="1325">
        <v>68.986679999999993</v>
      </c>
      <c r="AB27" s="1325">
        <v>68.986679999999993</v>
      </c>
      <c r="AC27" s="1325">
        <v>68.986679999999993</v>
      </c>
      <c r="AD27" s="1334">
        <v>68.986689999999982</v>
      </c>
      <c r="AE27" s="1323">
        <f t="shared" si="7"/>
        <v>390.46046999999999</v>
      </c>
      <c r="AF27" s="1324">
        <f t="shared" si="8"/>
        <v>735.39387999999985</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51.25</v>
      </c>
      <c r="AA28" s="1325">
        <v>71.75</v>
      </c>
      <c r="AB28" s="1325">
        <v>61.5</v>
      </c>
      <c r="AC28" s="1325">
        <v>41</v>
      </c>
      <c r="AD28" s="1334">
        <v>20.5</v>
      </c>
      <c r="AE28" s="1323">
        <f t="shared" si="7"/>
        <v>204.42205000000001</v>
      </c>
      <c r="AF28" s="1324">
        <f t="shared" si="8"/>
        <v>450.42205000000001</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19.103549999999998</v>
      </c>
      <c r="AA29" s="2494">
        <v>14.7408</v>
      </c>
      <c r="AB29" s="2494">
        <v>19.7408</v>
      </c>
      <c r="AC29" s="2494">
        <v>14.7408</v>
      </c>
      <c r="AD29" s="2495">
        <v>19.7408</v>
      </c>
      <c r="AE29" s="2372">
        <f t="shared" si="7"/>
        <v>12.484680000000001</v>
      </c>
      <c r="AF29" s="2496">
        <f t="shared" si="8"/>
        <v>100.55143000000001</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1479</v>
      </c>
      <c r="S30" s="2493">
        <v>0</v>
      </c>
      <c r="T30" s="2494">
        <v>0</v>
      </c>
      <c r="U30" s="2494">
        <v>0</v>
      </c>
      <c r="V30" s="2494">
        <v>0</v>
      </c>
      <c r="W30" s="2494">
        <v>0</v>
      </c>
      <c r="X30" s="2494">
        <v>0</v>
      </c>
      <c r="Y30" s="2494">
        <v>0</v>
      </c>
      <c r="Z30" s="2494">
        <v>0</v>
      </c>
      <c r="AA30" s="2494">
        <v>0</v>
      </c>
      <c r="AB30" s="2494">
        <v>60</v>
      </c>
      <c r="AC30" s="2494">
        <v>60</v>
      </c>
      <c r="AD30" s="2495">
        <v>60</v>
      </c>
      <c r="AE30" s="2372">
        <f t="shared" si="7"/>
        <v>0</v>
      </c>
      <c r="AF30" s="2496">
        <f t="shared" si="8"/>
        <v>180</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1473</v>
      </c>
      <c r="S31" s="2493">
        <v>0</v>
      </c>
      <c r="T31" s="2494">
        <v>0</v>
      </c>
      <c r="U31" s="2494">
        <v>1.7000000000000001E-4</v>
      </c>
      <c r="V31" s="2494">
        <v>0</v>
      </c>
      <c r="W31" s="2494">
        <v>0</v>
      </c>
      <c r="X31" s="2494">
        <v>0</v>
      </c>
      <c r="Y31" s="2494">
        <v>0</v>
      </c>
      <c r="Z31" s="2494">
        <v>0</v>
      </c>
      <c r="AA31" s="2494">
        <v>0</v>
      </c>
      <c r="AB31" s="2494">
        <v>0</v>
      </c>
      <c r="AC31" s="2494">
        <v>0</v>
      </c>
      <c r="AD31" s="2495">
        <v>0</v>
      </c>
      <c r="AE31" s="2372">
        <f t="shared" si="7"/>
        <v>1.7000000000000001E-4</v>
      </c>
      <c r="AF31" s="2496">
        <f t="shared" si="8"/>
        <v>1.7000000000000001E-4</v>
      </c>
      <c r="AG31" s="80"/>
      <c r="AH31" s="80"/>
      <c r="AI31" s="80"/>
      <c r="AJ31" s="80"/>
    </row>
    <row r="32" spans="1:36" ht="13.8"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1480</v>
      </c>
      <c r="S32" s="2493">
        <v>0</v>
      </c>
      <c r="T32" s="2494">
        <v>0</v>
      </c>
      <c r="U32" s="2494">
        <v>0</v>
      </c>
      <c r="V32" s="2494">
        <v>0</v>
      </c>
      <c r="W32" s="2494">
        <v>0</v>
      </c>
      <c r="X32" s="2494">
        <v>0</v>
      </c>
      <c r="Y32" s="2494">
        <v>0</v>
      </c>
      <c r="Z32" s="2494">
        <v>20.8</v>
      </c>
      <c r="AA32" s="2494">
        <v>20.8</v>
      </c>
      <c r="AB32" s="2494">
        <v>20.8</v>
      </c>
      <c r="AC32" s="2494">
        <v>20.8</v>
      </c>
      <c r="AD32" s="2495">
        <v>20.8</v>
      </c>
      <c r="AE32" s="2372">
        <f t="shared" si="7"/>
        <v>0</v>
      </c>
      <c r="AF32" s="2496">
        <f t="shared" si="8"/>
        <v>104</v>
      </c>
      <c r="AG32" s="80"/>
      <c r="AH32" s="80"/>
      <c r="AI32" s="80"/>
      <c r="AJ32" s="80"/>
    </row>
    <row r="33" spans="1:36" ht="13.8"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935.2732400000001</v>
      </c>
      <c r="K33" s="1907">
        <f t="shared" si="10"/>
        <v>973.87347000000011</v>
      </c>
      <c r="L33" s="1907">
        <f t="shared" si="10"/>
        <v>1028.62347</v>
      </c>
      <c r="M33" s="1907">
        <f t="shared" si="10"/>
        <v>958.07060999999999</v>
      </c>
      <c r="N33" s="1907">
        <f t="shared" si="10"/>
        <v>1037.6234800000002</v>
      </c>
      <c r="O33" s="1907">
        <f>SUM(O20:O32)</f>
        <v>5681.3018400000001</v>
      </c>
      <c r="P33" s="1907">
        <f>SUM(P20:P32)</f>
        <v>10614.766109999999</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8"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997.22298000000012</v>
      </c>
      <c r="K34" s="1340">
        <f t="shared" si="11"/>
        <v>1032.0161700000001</v>
      </c>
      <c r="L34" s="1340">
        <f t="shared" si="11"/>
        <v>1089.6534200000001</v>
      </c>
      <c r="M34" s="1340">
        <f t="shared" si="11"/>
        <v>1016.25766</v>
      </c>
      <c r="N34" s="1912">
        <f t="shared" si="11"/>
        <v>1092.8105300000002</v>
      </c>
      <c r="O34" s="1340">
        <f t="shared" si="11"/>
        <v>6125.4970700000003</v>
      </c>
      <c r="P34" s="1866">
        <f t="shared" si="11"/>
        <v>11353.457829999999</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895.26024000000007</v>
      </c>
      <c r="AA34" s="1907">
        <f t="shared" si="12"/>
        <v>933.86047000000008</v>
      </c>
      <c r="AB34" s="1907">
        <f t="shared" si="12"/>
        <v>988.61047000000008</v>
      </c>
      <c r="AC34" s="1907">
        <f t="shared" si="12"/>
        <v>918.05760999999995</v>
      </c>
      <c r="AD34" s="1907">
        <f t="shared" si="12"/>
        <v>947.61048000000005</v>
      </c>
      <c r="AE34" s="1907">
        <f>SUM(AE21:AE33)</f>
        <v>5606.3308400000005</v>
      </c>
      <c r="AF34" s="1907">
        <f>SUM(AF21:AF33)</f>
        <v>10289.730109999999</v>
      </c>
      <c r="AG34" s="80"/>
      <c r="AH34" s="80"/>
      <c r="AI34" s="80"/>
      <c r="AJ34" s="80"/>
    </row>
    <row r="35" spans="1:36" ht="13.8"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8"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8121.5293398330969</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8"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279.71821099311717</v>
      </c>
      <c r="K37" s="1907">
        <f t="shared" si="13"/>
        <v>769.26198380399887</v>
      </c>
      <c r="L37" s="1907">
        <f t="shared" si="13"/>
        <v>220.06734213733239</v>
      </c>
      <c r="M37" s="1907">
        <f t="shared" si="13"/>
        <v>189.58700484890232</v>
      </c>
      <c r="N37" s="1907">
        <f t="shared" si="13"/>
        <v>631.87535602622097</v>
      </c>
      <c r="O37" s="1907">
        <f t="shared" si="13"/>
        <v>1996.0322698330965</v>
      </c>
      <c r="P37" s="1908">
        <f t="shared" si="13"/>
        <v>4086.5421676426704</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8"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8121.5291098330963</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997.22298000000012</v>
      </c>
      <c r="K42" s="1325">
        <v>1032.0161700000001</v>
      </c>
      <c r="L42" s="1325">
        <v>1089.6534200000001</v>
      </c>
      <c r="M42" s="1325">
        <v>1016.25766</v>
      </c>
      <c r="N42" s="2727">
        <v>1092.8105300000002</v>
      </c>
      <c r="O42" s="1323">
        <f t="shared" ref="O42:O44" si="14">SUMPRODUCT($C$4:$N$4,C42:N42)</f>
        <v>6125.4970700000013</v>
      </c>
      <c r="P42" s="1324">
        <f t="shared" ref="P42:P44" si="15">SUM(C42:N42)</f>
        <v>11353.457830000001</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997.22298000000012</v>
      </c>
      <c r="K44" s="2730">
        <f t="shared" si="16"/>
        <v>1032.0161700000001</v>
      </c>
      <c r="L44" s="2730">
        <f t="shared" si="16"/>
        <v>1089.6534200000001</v>
      </c>
      <c r="M44" s="2730">
        <f t="shared" si="16"/>
        <v>1016.25766</v>
      </c>
      <c r="N44" s="2731">
        <f t="shared" si="16"/>
        <v>1092.8105300000002</v>
      </c>
      <c r="O44" s="2732">
        <f t="shared" si="14"/>
        <v>6125.4970700000013</v>
      </c>
      <c r="P44" s="2733">
        <f t="shared" si="15"/>
        <v>11353.457830000001</v>
      </c>
      <c r="Q44" s="608"/>
      <c r="R44" s="608"/>
      <c r="S44" s="608"/>
      <c r="T44" s="839"/>
      <c r="U44" s="80"/>
      <c r="V44" s="80"/>
      <c r="W44" s="80"/>
      <c r="X44" s="80"/>
      <c r="Y44" s="80"/>
      <c r="Z44" s="80"/>
      <c r="AA44" s="80"/>
      <c r="AB44" s="80"/>
      <c r="AC44" s="80"/>
      <c r="AD44" s="80"/>
      <c r="AE44" s="80"/>
      <c r="AF44" s="1115"/>
      <c r="AG44" s="80"/>
      <c r="AH44" s="80"/>
      <c r="AI44" s="80"/>
      <c r="AJ44" s="80"/>
    </row>
    <row r="45" spans="1:36" ht="13.8"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-279.71821099311717</v>
      </c>
      <c r="K45" s="2734">
        <f t="shared" si="17"/>
        <v>-769.26198380399887</v>
      </c>
      <c r="L45" s="2734">
        <f t="shared" si="17"/>
        <v>-220.06734213733239</v>
      </c>
      <c r="M45" s="2734">
        <f t="shared" si="17"/>
        <v>-189.58700484890232</v>
      </c>
      <c r="N45" s="2735">
        <f t="shared" si="17"/>
        <v>-631.87535602622097</v>
      </c>
      <c r="O45" s="2760">
        <f t="shared" si="17"/>
        <v>-1996.032039833095</v>
      </c>
      <c r="P45" s="2760">
        <f t="shared" si="17"/>
        <v>-4086.5419376426671</v>
      </c>
      <c r="Q45" s="608"/>
      <c r="R45" s="608"/>
      <c r="S45" s="608"/>
      <c r="T45" s="839"/>
      <c r="U45" s="80"/>
      <c r="V45" s="80"/>
      <c r="W45" s="80"/>
      <c r="X45" s="80"/>
      <c r="Y45" s="80"/>
      <c r="Z45" s="80"/>
      <c r="AA45" s="80"/>
      <c r="AB45" s="80"/>
      <c r="AC45" s="80"/>
      <c r="AD45" s="80"/>
      <c r="AE45" s="80"/>
      <c r="AF45" s="1115"/>
      <c r="AG45" s="80"/>
      <c r="AH45" s="80"/>
      <c r="AI45" s="80"/>
      <c r="AJ45" s="80"/>
    </row>
    <row r="46" spans="1:36" ht="13.8"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8"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8"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8"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30.636333333333337</v>
      </c>
      <c r="K53" s="1903">
        <v>30.636333333333337</v>
      </c>
      <c r="L53" s="1903">
        <v>34.581249999999997</v>
      </c>
      <c r="M53" s="1903">
        <v>34.581249999999997</v>
      </c>
      <c r="N53" s="1904">
        <v>34.581249999999997</v>
      </c>
      <c r="O53" s="1862">
        <f t="shared" ref="O53:O61" si="19">SUMPRODUCT($C$4:$N$4,C53:N53)</f>
        <v>280.18741</v>
      </c>
      <c r="P53" s="1863">
        <f t="shared" ref="P53:P61" si="20">SUM(C53:N53)</f>
        <v>445.20382666666666</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c r="D55" s="1326"/>
      <c r="E55" s="1326"/>
      <c r="F55" s="1326"/>
      <c r="G55" s="1326">
        <v>15.32296</v>
      </c>
      <c r="H55" s="1326">
        <v>13.60045</v>
      </c>
      <c r="I55" s="1326">
        <v>13.639560000000001</v>
      </c>
      <c r="J55" s="1326">
        <v>16.921666666666667</v>
      </c>
      <c r="K55" s="1326">
        <v>16.921666666666667</v>
      </c>
      <c r="L55" s="1326">
        <v>16.921666666666667</v>
      </c>
      <c r="M55" s="1326">
        <v>16.921666666666667</v>
      </c>
      <c r="N55" s="1333">
        <v>16.921666666666667</v>
      </c>
      <c r="O55" s="1862">
        <f t="shared" si="19"/>
        <v>42.56297</v>
      </c>
      <c r="P55" s="1863">
        <f t="shared" si="20"/>
        <v>127.17130333333334</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23.248833333333337</v>
      </c>
      <c r="K59" s="1326">
        <v>17.830416666666668</v>
      </c>
      <c r="L59" s="1326">
        <v>17.830416666666668</v>
      </c>
      <c r="M59" s="1326">
        <v>17.830416666666668</v>
      </c>
      <c r="N59" s="1333">
        <v>17.830416666666668</v>
      </c>
      <c r="O59" s="1862">
        <f t="shared" si="19"/>
        <v>118.30575999999999</v>
      </c>
      <c r="P59" s="1863">
        <f t="shared" si="20"/>
        <v>212.87626000000006</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8"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8"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70.806833333333344</v>
      </c>
      <c r="K62" s="1907">
        <f t="shared" si="21"/>
        <v>65.388416666666672</v>
      </c>
      <c r="L62" s="1907">
        <f t="shared" si="21"/>
        <v>69.333333333333329</v>
      </c>
      <c r="M62" s="1907">
        <f t="shared" si="21"/>
        <v>69.333333333333329</v>
      </c>
      <c r="N62" s="1907">
        <f t="shared" si="21"/>
        <v>69.333333333333329</v>
      </c>
      <c r="O62" s="1907">
        <f t="shared" si="21"/>
        <v>441.05614000000003</v>
      </c>
      <c r="P62" s="1908">
        <f t="shared" si="21"/>
        <v>785.25139000000013</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56.193850000000005</v>
      </c>
      <c r="K66" s="1326">
        <v>56.193850000000005</v>
      </c>
      <c r="L66" s="1326">
        <v>71.797773333333339</v>
      </c>
      <c r="M66" s="1326">
        <v>71.797773333333339</v>
      </c>
      <c r="N66" s="1333">
        <v>71.797773333333339</v>
      </c>
      <c r="O66" s="1862">
        <f t="shared" si="22"/>
        <v>272.21897999999999</v>
      </c>
      <c r="P66" s="1863">
        <f t="shared" si="23"/>
        <v>600</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8"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8"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56.193850000000005</v>
      </c>
      <c r="K76" s="1907">
        <f t="shared" si="24"/>
        <v>56.193850000000005</v>
      </c>
      <c r="L76" s="1907">
        <f t="shared" si="24"/>
        <v>71.797773333333339</v>
      </c>
      <c r="M76" s="1907">
        <f t="shared" si="24"/>
        <v>71.797773333333339</v>
      </c>
      <c r="N76" s="1907">
        <f t="shared" si="24"/>
        <v>71.797773333333339</v>
      </c>
      <c r="O76" s="1907">
        <f t="shared" si="24"/>
        <v>272.21897999999999</v>
      </c>
      <c r="P76" s="1907">
        <f t="shared" si="24"/>
        <v>600</v>
      </c>
      <c r="Q76" s="608"/>
      <c r="R76" s="608"/>
      <c r="S76" s="608"/>
      <c r="T76" s="839"/>
      <c r="U76" s="80"/>
      <c r="V76" s="80"/>
      <c r="W76" s="80"/>
      <c r="X76" s="80"/>
      <c r="Y76" s="80"/>
      <c r="Z76" s="80"/>
      <c r="AA76" s="80"/>
      <c r="AB76" s="80"/>
      <c r="AC76" s="80"/>
      <c r="AD76" s="80"/>
      <c r="AE76" s="80"/>
      <c r="AF76" s="1115"/>
      <c r="AG76" s="80"/>
      <c r="AH76" s="80"/>
      <c r="AI76" s="80"/>
      <c r="AJ76" s="80"/>
    </row>
    <row r="77" spans="1:36" ht="13.8"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127.00068333333334</v>
      </c>
      <c r="K77" s="1340">
        <f t="shared" si="25"/>
        <v>121.58226666666667</v>
      </c>
      <c r="L77" s="1340">
        <f t="shared" si="25"/>
        <v>141.13110666666665</v>
      </c>
      <c r="M77" s="1340">
        <f t="shared" si="25"/>
        <v>141.13110666666665</v>
      </c>
      <c r="N77" s="1912">
        <f t="shared" si="25"/>
        <v>141.13110666666665</v>
      </c>
      <c r="O77" s="1340">
        <f t="shared" si="25"/>
        <v>713.27512000000002</v>
      </c>
      <c r="P77" s="1866">
        <f t="shared" si="25"/>
        <v>1385.2513900000001</v>
      </c>
      <c r="Q77" s="608"/>
      <c r="R77" s="608"/>
      <c r="S77" s="608"/>
      <c r="T77" s="839"/>
      <c r="U77" s="80"/>
      <c r="V77" s="80"/>
      <c r="W77" s="80"/>
      <c r="X77" s="80"/>
      <c r="Y77" s="80"/>
      <c r="Z77" s="80"/>
      <c r="AA77" s="80"/>
      <c r="AB77" s="80"/>
      <c r="AC77" s="80"/>
      <c r="AD77" s="80"/>
      <c r="AE77" s="80"/>
      <c r="AF77" s="1115"/>
      <c r="AG77" s="80"/>
      <c r="AH77" s="80"/>
      <c r="AI77" s="80"/>
      <c r="AJ77" s="80"/>
    </row>
    <row r="78" spans="1:36" ht="13.8"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8"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851.16186909090891</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8"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-19.973498484848506</v>
      </c>
      <c r="K80" s="1907">
        <f t="shared" si="26"/>
        <v>-14.555081818181833</v>
      </c>
      <c r="L80" s="1907">
        <f t="shared" si="26"/>
        <v>-34.103921818181817</v>
      </c>
      <c r="M80" s="1907">
        <f t="shared" si="26"/>
        <v>17.747183181818201</v>
      </c>
      <c r="N80" s="1907">
        <f t="shared" si="26"/>
        <v>17.747183181818201</v>
      </c>
      <c r="O80" s="1907">
        <f t="shared" si="26"/>
        <v>137.88674909090889</v>
      </c>
      <c r="P80" s="1908">
        <f t="shared" si="26"/>
        <v>104.7486133333332</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8"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851.16190909090892</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 customHeight="1">
      <c r="A85" s="2723">
        <f t="shared" si="1"/>
        <v>59</v>
      </c>
      <c r="B85" s="2726" t="s">
        <v>1355</v>
      </c>
      <c r="C85" s="1330">
        <v>60.311999999999998</v>
      </c>
      <c r="D85" s="1325">
        <v>89.321359999999999</v>
      </c>
      <c r="E85" s="1325">
        <v>82.17770999999999</v>
      </c>
      <c r="F85" s="1325">
        <v>164.59791000000001</v>
      </c>
      <c r="G85" s="1325">
        <v>94.360680000000002</v>
      </c>
      <c r="H85" s="1325">
        <v>89.365099999999998</v>
      </c>
      <c r="I85" s="1325">
        <v>133.1404</v>
      </c>
      <c r="J85" s="1325">
        <v>127.00068333333334</v>
      </c>
      <c r="K85" s="1325">
        <v>121.58226666666667</v>
      </c>
      <c r="L85" s="1325">
        <v>141.13110666666665</v>
      </c>
      <c r="M85" s="1325">
        <v>141.13110666666665</v>
      </c>
      <c r="N85" s="1334">
        <v>141.13110666666665</v>
      </c>
      <c r="O85" s="1323">
        <f t="shared" si="27"/>
        <v>713.27516000000003</v>
      </c>
      <c r="P85" s="1324">
        <f t="shared" si="28"/>
        <v>1385.25143</v>
      </c>
      <c r="Q85" s="608"/>
      <c r="R85" s="608"/>
      <c r="S85" s="608"/>
      <c r="T85" s="839"/>
      <c r="U85" s="80"/>
      <c r="V85" s="80"/>
      <c r="W85" s="80"/>
      <c r="X85" s="80"/>
      <c r="Y85" s="80"/>
      <c r="Z85" s="80"/>
      <c r="AA85" s="80"/>
      <c r="AB85" s="80"/>
      <c r="AC85" s="80"/>
      <c r="AD85" s="80"/>
      <c r="AE85" s="80"/>
      <c r="AF85" s="1115"/>
      <c r="AG85" s="80"/>
      <c r="AH85" s="80"/>
      <c r="AI85" s="80"/>
      <c r="AJ85" s="80"/>
    </row>
    <row r="86" spans="1:36" ht="17.7"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127.00068333333334</v>
      </c>
      <c r="K87" s="2730">
        <f t="shared" ref="K87" si="36">K85+K86</f>
        <v>121.58226666666667</v>
      </c>
      <c r="L87" s="2730">
        <f t="shared" ref="L87" si="37">L85+L86</f>
        <v>141.13110666666665</v>
      </c>
      <c r="M87" s="2730">
        <f t="shared" ref="M87" si="38">M85+M86</f>
        <v>141.13110666666665</v>
      </c>
      <c r="N87" s="2765">
        <f t="shared" ref="N87" si="39">N85+N86</f>
        <v>141.13110666666665</v>
      </c>
      <c r="O87" s="1338">
        <f t="shared" si="27"/>
        <v>713.27516000000003</v>
      </c>
      <c r="P87" s="1339">
        <f t="shared" si="28"/>
        <v>1385.25143</v>
      </c>
      <c r="Q87" s="608"/>
      <c r="R87" s="608"/>
      <c r="S87" s="608"/>
      <c r="T87" s="839"/>
      <c r="U87" s="80"/>
      <c r="V87" s="80"/>
      <c r="W87" s="80"/>
      <c r="X87" s="80"/>
      <c r="Y87" s="80"/>
      <c r="Z87" s="80"/>
      <c r="AA87" s="80"/>
      <c r="AB87" s="80"/>
      <c r="AC87" s="80"/>
      <c r="AD87" s="80"/>
      <c r="AE87" s="80"/>
      <c r="AF87" s="1115"/>
      <c r="AG87" s="80"/>
      <c r="AH87" s="80"/>
      <c r="AI87" s="80"/>
      <c r="AJ87" s="80"/>
    </row>
    <row r="88" spans="1:36" ht="17.7"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19.973498484848506</v>
      </c>
      <c r="K88" s="2734">
        <f t="shared" ref="K88" si="47">K87-K84</f>
        <v>14.555081818181833</v>
      </c>
      <c r="L88" s="2734">
        <f t="shared" ref="L88" si="48">L87-L84</f>
        <v>34.103921818181817</v>
      </c>
      <c r="M88" s="2734">
        <f t="shared" ref="M88" si="49">M87-M84</f>
        <v>-17.747183181818201</v>
      </c>
      <c r="N88" s="2764">
        <f t="shared" ref="N88:P88" si="50">N87-N84</f>
        <v>-17.747183181818201</v>
      </c>
      <c r="O88" s="2758">
        <f t="shared" si="50"/>
        <v>-137.88674909090889</v>
      </c>
      <c r="P88" s="2760">
        <f t="shared" si="50"/>
        <v>-104.7486133333332</v>
      </c>
      <c r="Q88" s="608"/>
      <c r="R88" s="608"/>
      <c r="S88" s="608"/>
      <c r="T88" s="839"/>
      <c r="U88" s="80"/>
      <c r="V88" s="80"/>
      <c r="W88" s="80"/>
      <c r="X88" s="80"/>
      <c r="Y88" s="80"/>
      <c r="Z88" s="80"/>
      <c r="AA88" s="80"/>
      <c r="AB88" s="80"/>
      <c r="AC88" s="80"/>
      <c r="AD88" s="80"/>
      <c r="AE88" s="80"/>
      <c r="AF88" s="1115"/>
      <c r="AG88" s="80"/>
      <c r="AH88" s="80"/>
      <c r="AI88" s="80"/>
      <c r="AJ88" s="80"/>
    </row>
    <row r="89" spans="1:36" ht="17.7"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4.0000000012696546E-5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8"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8"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8"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8"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8"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8"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8"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8"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8"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8"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8"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8"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8972.6912089240068</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1124.2236633333334</v>
      </c>
      <c r="K148" s="2739">
        <f t="shared" si="93"/>
        <v>1153.5984366666667</v>
      </c>
      <c r="L148" s="2739">
        <f t="shared" si="93"/>
        <v>1230.7845266666668</v>
      </c>
      <c r="M148" s="2739">
        <f t="shared" si="93"/>
        <v>1157.3887666666667</v>
      </c>
      <c r="N148" s="2739">
        <f t="shared" si="93"/>
        <v>1233.9416366666669</v>
      </c>
      <c r="O148" s="1323">
        <f t="shared" si="90"/>
        <v>6838.7721900000006</v>
      </c>
      <c r="P148" s="1324">
        <f t="shared" si="91"/>
        <v>12738.709220000001</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259.74471250826878</v>
      </c>
      <c r="K149" s="2741">
        <f t="shared" si="94"/>
        <v>754.70690198581724</v>
      </c>
      <c r="L149" s="2741">
        <f t="shared" si="94"/>
        <v>185.9634203191506</v>
      </c>
      <c r="M149" s="2741">
        <f t="shared" si="94"/>
        <v>207.3341880307205</v>
      </c>
      <c r="N149" s="2741">
        <f t="shared" si="94"/>
        <v>649.62253920803914</v>
      </c>
      <c r="O149" s="1366">
        <f t="shared" si="90"/>
        <v>2133.9190189240053</v>
      </c>
      <c r="P149" s="1367">
        <f t="shared" si="91"/>
        <v>4191.2907809760018</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8972.6910189240061</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1124.2236633333334</v>
      </c>
      <c r="K152" s="2750">
        <f t="shared" si="96"/>
        <v>1153.5984366666667</v>
      </c>
      <c r="L152" s="2750">
        <f t="shared" si="96"/>
        <v>1230.7845266666668</v>
      </c>
      <c r="M152" s="2750">
        <f t="shared" si="96"/>
        <v>1157.3887666666667</v>
      </c>
      <c r="N152" s="2751">
        <f t="shared" si="96"/>
        <v>1233.9416366666669</v>
      </c>
      <c r="O152" s="1323">
        <f t="shared" ref="O152:O154" si="97">SUMPRODUCT($C$4:$N$4,C152:N152)</f>
        <v>6838.7722299999996</v>
      </c>
      <c r="P152" s="1324">
        <f t="shared" ref="P152:P154" si="98">SUM(C152:N152)</f>
        <v>12738.70926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1124.2236633333334</v>
      </c>
      <c r="K154" s="2754">
        <f t="shared" si="100"/>
        <v>1153.5984366666667</v>
      </c>
      <c r="L154" s="2754">
        <f t="shared" si="100"/>
        <v>1230.7845266666668</v>
      </c>
      <c r="M154" s="2754">
        <f t="shared" si="100"/>
        <v>1157.3887666666667</v>
      </c>
      <c r="N154" s="2755">
        <f t="shared" si="100"/>
        <v>1233.9416366666669</v>
      </c>
      <c r="O154" s="1323">
        <f t="shared" si="97"/>
        <v>6838.7722299999996</v>
      </c>
      <c r="P154" s="1324">
        <f t="shared" si="98"/>
        <v>12738.70926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-259.74471250826878</v>
      </c>
      <c r="K155" s="2759">
        <f t="shared" si="101"/>
        <v>-754.70690198581724</v>
      </c>
      <c r="L155" s="2759">
        <f t="shared" si="101"/>
        <v>-185.9634203191506</v>
      </c>
      <c r="M155" s="2759">
        <f t="shared" si="101"/>
        <v>-207.3341880307205</v>
      </c>
      <c r="N155" s="2760">
        <f t="shared" si="101"/>
        <v>-649.62253920803914</v>
      </c>
      <c r="O155" s="2758">
        <f t="shared" si="101"/>
        <v>-2133.9187889240065</v>
      </c>
      <c r="P155" s="2760">
        <f t="shared" si="101"/>
        <v>-4191.2905509760021</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1640625" defaultRowHeight="13.2"/>
  <cols>
    <col min="1" max="1" width="4.1796875" style="9" customWidth="1"/>
    <col min="2" max="2" width="17.453125" style="9" customWidth="1"/>
    <col min="3" max="3" width="22.81640625" style="9" customWidth="1"/>
    <col min="4" max="4" width="8.54296875" style="7" customWidth="1"/>
    <col min="5" max="6" width="7.81640625" style="7" customWidth="1"/>
    <col min="7" max="7" width="8" style="7" customWidth="1"/>
    <col min="8" max="8" width="7.81640625" style="7" customWidth="1"/>
    <col min="9" max="9" width="7.81640625" style="8" customWidth="1"/>
    <col min="10" max="11" width="8.08984375" style="7" customWidth="1"/>
    <col min="12" max="12" width="7.81640625" style="7" customWidth="1"/>
    <col min="13" max="15" width="8.1796875" style="7" customWidth="1"/>
    <col min="16" max="16" width="8.08984375" style="7" customWidth="1"/>
    <col min="17" max="17" width="7.81640625" style="9" customWidth="1"/>
    <col min="18" max="18" width="13.81640625" style="9" customWidth="1"/>
    <col min="19" max="20" width="11.81640625" style="9" customWidth="1"/>
    <col min="21" max="21" width="10.1796875" style="9" customWidth="1"/>
    <col min="22" max="22" width="12" style="9" customWidth="1"/>
    <col min="23" max="23" width="2.08984375" style="9" customWidth="1"/>
    <col min="24" max="24" width="10.54296875" style="9" customWidth="1"/>
    <col min="25" max="29" width="8.81640625" style="757"/>
    <col min="30" max="30" width="57" style="757" customWidth="1"/>
    <col min="31" max="31" width="52.1796875" style="9" customWidth="1"/>
    <col min="32" max="16384" width="8.81640625" style="9"/>
  </cols>
  <sheetData>
    <row r="1" spans="1:87" ht="15.6">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Oct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7">
        <f>VLOOKUP(Summary!H1,Summary!V1:W12,2,FALSE)</f>
        <v>7</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1165.5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1165.5</v>
      </c>
      <c r="Q23" s="939">
        <f t="shared" si="2"/>
        <v>1758</v>
      </c>
      <c r="R23" s="325">
        <f>+P23/Q23</f>
        <v>0.66296928327645055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1165.5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1131.4166666666665</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1131.4166666666665</v>
      </c>
      <c r="Q26" s="939">
        <f t="shared" si="2"/>
        <v>1416.0000000000002</v>
      </c>
      <c r="R26" s="325">
        <f>+P26/Q26</f>
        <v>0.79902306967984915</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1131.4166666666665</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2296.9166666666665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2296.9166666666665</v>
      </c>
      <c r="Q32" s="75">
        <f t="shared" si="14"/>
        <v>3174</v>
      </c>
      <c r="R32" s="325">
        <f>+P32/Q32</f>
        <v>0.72366624658685141</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1131.4166666666665</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Public Health Wales Trust</v>
      </c>
      <c r="C44" s="608"/>
      <c r="D44" s="612"/>
      <c r="E44" s="612"/>
      <c r="F44" s="612"/>
      <c r="G44" s="612"/>
      <c r="H44" s="612"/>
      <c r="I44" s="915"/>
      <c r="J44" s="612"/>
      <c r="K44" s="612"/>
      <c r="L44" s="612"/>
      <c r="M44" s="612"/>
      <c r="N44" s="612"/>
      <c r="O44" s="916" t="s">
        <v>51</v>
      </c>
      <c r="P44" s="986" t="str">
        <f>+Q3</f>
        <v>Oct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7</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398.41666666666669</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398.41666666666669</v>
      </c>
      <c r="Q57" s="939">
        <f t="shared" si="22"/>
        <v>682.99999999999989</v>
      </c>
      <c r="R57" s="325">
        <f>+P57/Q57</f>
        <v>0.58333333333333348</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1131.4166666666665</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1131.4166666666665</v>
      </c>
      <c r="Q72" s="75">
        <f t="shared" si="22"/>
        <v>1416.0000000000002</v>
      </c>
      <c r="R72" s="325">
        <f>+P72/Q72</f>
        <v>0.79902306967984915</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1131.4166666666665</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1131.4166666666665</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8"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1165.5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1165.5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8"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8"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8"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8"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5"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8"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8"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8"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8"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8"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2296.9166666666665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2296.9166666666665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8"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
  <cols>
    <col min="1" max="1" width="10.54296875" customWidth="1"/>
    <col min="2" max="2" width="10.453125" style="1429" customWidth="1"/>
    <col min="3" max="3" width="9.54296875" style="1429" customWidth="1"/>
    <col min="4" max="4" width="10.81640625" style="1429" customWidth="1"/>
    <col min="5" max="5" width="34" style="1430" customWidth="1"/>
    <col min="6" max="6" width="11" style="1429" customWidth="1"/>
    <col min="7" max="9" width="11" style="1431" customWidth="1"/>
    <col min="10" max="11" width="12.54296875" style="1431" customWidth="1"/>
    <col min="12" max="13" width="11" customWidth="1"/>
    <col min="14" max="14" width="11.54296875" customWidth="1"/>
    <col min="15" max="15" width="11.81640625" style="1432" customWidth="1"/>
    <col min="16" max="16" width="10" style="1433" bestFit="1" customWidth="1"/>
    <col min="17" max="17" width="12.08984375" style="1433" bestFit="1" customWidth="1"/>
    <col min="18" max="18" width="9.81640625" style="1433" bestFit="1" customWidth="1"/>
    <col min="19" max="31" width="11.81640625" style="1434" customWidth="1"/>
    <col min="32" max="58" width="11.81640625" customWidth="1"/>
    <col min="61" max="74" width="13.1796875" customWidth="1"/>
    <col min="77" max="78" width="9.1796875" customWidth="1"/>
    <col min="79" max="79" width="7.08984375" customWidth="1"/>
    <col min="80" max="83" width="9.1796875" customWidth="1"/>
    <col min="84" max="95" width="35.81640625" customWidth="1"/>
    <col min="96" max="96" width="2.81640625" customWidth="1"/>
    <col min="97" max="97" width="9.1796875" customWidth="1"/>
    <col min="98" max="98" width="24.1796875" customWidth="1"/>
    <col min="99" max="99" width="2.81640625" customWidth="1"/>
    <col min="100" max="100" width="46.1796875" bestFit="1" customWidth="1"/>
    <col min="101" max="101" width="3" customWidth="1"/>
    <col min="102" max="102" width="9.1796875" customWidth="1"/>
  </cols>
  <sheetData>
    <row r="1" spans="1:102" ht="15.6">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7</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6">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6">
      <c r="A3" s="1048"/>
      <c r="B3" s="1048"/>
      <c r="C3" s="1051"/>
      <c r="D3" s="1052"/>
      <c r="E3" s="1052"/>
      <c r="F3" s="1052"/>
      <c r="G3" s="1052"/>
      <c r="H3" s="1052"/>
      <c r="I3" s="1053"/>
      <c r="J3" s="1052" t="s">
        <v>289</v>
      </c>
      <c r="K3" s="1049"/>
      <c r="L3" s="1052"/>
      <c r="M3" s="1049"/>
      <c r="N3" s="1049"/>
      <c r="O3" s="1049"/>
      <c r="P3" s="140"/>
      <c r="Q3" s="1466"/>
      <c r="R3" s="608"/>
      <c r="S3" s="1143"/>
      <c r="T3" s="1143"/>
      <c r="U3" s="140" t="str">
        <f>+Summary!H1</f>
        <v>Oct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6">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3.4"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2296.9166666666665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6"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2296.9166666666665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6"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6"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2296.9166666666665</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6"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2296.9166666666665</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6"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6"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6"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6"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6"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6"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6"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6"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2296.9166666666665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6"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2296.9166666666665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6"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6"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6"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2296.9166666666665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6"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2296.9166666666665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6"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6">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9.6">
      <c r="A43" s="1482" t="s">
        <v>621</v>
      </c>
      <c r="B43" s="1579" t="s">
        <v>1423</v>
      </c>
      <c r="C43" s="1579" t="s">
        <v>1423</v>
      </c>
      <c r="D43" s="1579" t="s">
        <v>1422</v>
      </c>
      <c r="E43" s="1580" t="s">
        <v>1459</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258.41666666666663</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9.6">
      <c r="A44" s="1482" t="str">
        <f t="shared" ref="A44:A107" si="79">$A$1</f>
        <v>Public Health Wales Trust</v>
      </c>
      <c r="B44" s="1579" t="s">
        <v>1423</v>
      </c>
      <c r="C44" s="1579" t="s">
        <v>1423</v>
      </c>
      <c r="D44" s="1579" t="s">
        <v>1425</v>
      </c>
      <c r="E44" s="1580" t="s">
        <v>1458</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398.41666666666669</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6">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150.5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6">
      <c r="A46" s="1482" t="str">
        <f t="shared" si="79"/>
        <v>Public Health Wales Trust</v>
      </c>
      <c r="B46" s="1579" t="s">
        <v>1424</v>
      </c>
      <c r="C46" s="1579" t="s">
        <v>1424</v>
      </c>
      <c r="D46" s="1579" t="s">
        <v>1427</v>
      </c>
      <c r="E46" s="1580" t="s">
        <v>1460</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280.58333333333337</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6">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105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6">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35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6">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6">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3.2">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3.2">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3.2">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3.2">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3.2">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3.2">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3.2">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3.2">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3.2">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3.2">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3.2">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3.2">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3.2">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3.2">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3.2">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3.2">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3.2">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3.2">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3.2">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3.2">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3.2">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3.2">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3.2">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3.2">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3.2">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3.2">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3.2">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3.2">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3.2">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3.2">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3.2">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3.2">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3.2">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3.2">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2">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3.2">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2">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2">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3.2">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3.2">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3.2">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3.2">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3.2">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3.2">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2">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3.2">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3.2">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3.2">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3.2">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3.2">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3.2">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3.2">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3.2">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3.2">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3.2">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3.2">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3.2">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3.2">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3.2">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3.2">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3.2">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3.2">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3.2">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3.2">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3.2">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3.2">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3.2">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3.2">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3.2">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3.2">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3.2">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3.2">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3.2">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3.2">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3.2">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3.2">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3.2">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3.2">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3.2">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3.2">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3.2">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3.2">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3.2">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3.2">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3.2">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3.2">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3.2">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3.2">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3.2">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3.2">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3.2">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3.2">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3.2">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3.2">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3.2">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3.2">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3.2">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3.2">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3.2">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3.2">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3.2">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3.2">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3.2">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3.2">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3.2">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3.2">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3.2">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3.2">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3.2">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3.2">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3.2">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3.2">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3.2">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3.2">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3.2">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3.2">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3.2">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3.2">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3.2">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3.2">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3.2">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3.2">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3.2">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3.2">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3.2">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3.2">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3.2">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3.2">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3.2">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3.2">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3.2">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3.2">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3.2">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3.2">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3.2">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3.2">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3.2">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3.2">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3.2">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3.2">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3.2">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3.2">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3.2">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3.2">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3.2">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3.2">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3.2">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3.2">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3.2">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3.2">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3.2">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3.2">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3.2">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3.2">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3.2">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3.2">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3.2">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3.2">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3.2">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3.2">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3.2">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3.2">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3.2">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3.2">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3.2">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3.2">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3.2">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3.2">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3.2">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3.2">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3.2">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3.2">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3.2">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3.2">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3.2">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3.2">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3.2">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3.2">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3.2">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3.2">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3.2">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3.2">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3.2">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3.2">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3.2">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3.2">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3.2">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3.2">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3.2">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3.2">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3.2">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3.2">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3.2">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3.2">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3.2">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3.2">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3.2">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3.2">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3.2">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3.2">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3.2">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3.2">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3.2">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3.2">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3.2">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3.2">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3.2">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3.2">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3.2">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3.2">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3.2">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3.2">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3.2">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3.2">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3.2">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3.2">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3.2">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3.2">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3.2">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3.2">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3.2">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3.2">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3.2">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3.2">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3.2">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3.2">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3.2">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3.2">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3.2">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3.2">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3.2">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3.2">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3.2">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3.2">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3.2">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3.2">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3.2">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3.2">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3.2">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3.2">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3.2">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3.2">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3.2">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3.2">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3.2">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3.2">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3.2">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3.2">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3.2">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3.2">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3.2">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3.2">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3.2">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3.2">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3.2">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3.2">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3.2">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3.2">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3.2">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3.2">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3.2">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3.2">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3.2">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3.2">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3.2">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3.2">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3.2">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3.2">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3.2">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3.2">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3.2">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3.2">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3.2">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3.2">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3.2">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3.2">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3.2">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3.2">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3.2">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3.2">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3.2">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3.2">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3.2">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3.2">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3.2">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3.2">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3.2">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3.2">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3.2">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3.2">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3.2">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3.2">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3.2">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3.2">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3.2">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3.2">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3.2">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3.2">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3.2">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3.2">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3.2">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3.2">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3.2">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3.2">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3.2">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3.2">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3.2">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3.2">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3.2">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3.2">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3.2">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3.2">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3.2">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3.2">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3.2">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3.2">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3.2">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3.2">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3.2">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3.2">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3.2">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3.2">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3.2">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3.2">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3.2">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3.2">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3.2">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3.2">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3.2">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3.2">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3.2">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3.2">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3.2">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3.2">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3.2">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3.2">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3.2">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3.2">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3.2">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3.2">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3.2">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3.2">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3.2">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3.2">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3.2">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3.2">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3.2">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3.2">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3.2">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3.2">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3.2">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3.2">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3.2">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3.2">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3.2">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3.2">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3.2">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3.2">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3.2">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3.2">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3.2">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3.2">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3.2">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3.2">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3.2">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3.2">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3.2">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3.2">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3.2">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3.2">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3.2">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3.2">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3.2">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3.2">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3.2">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3.2">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3.2">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3.2">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3.2">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3.2">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3.2">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3.2">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3.2">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3.2">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3.2">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3.2">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3.2">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3.2">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3.2">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3.2">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3.2">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3.2">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3.2">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3.2">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3.2">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3.2">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3.2">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3.2">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3.2">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3.2">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3.2">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3.2">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3.2">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3.2">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3.2">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3.2">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3.2">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3.2">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3.2">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3.2">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3.2">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3.2">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3.2">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3.2">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3.2">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3.2">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3.2">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3.2">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3.2">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3.2">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3.2">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3.2">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3.2">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3.2">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3.2">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3.2">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3.2">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3.2">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3.2">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3.2">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3.2">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3.2">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3.2">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3.2">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3.2">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3.2">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3.2">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3.2">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3.2">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3.2">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3.2">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3.2">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3.2">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3.2">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3.2">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3.2">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3.2">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3.2">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3.2">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3.2">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3.2">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3.2">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3.2">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3.2">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3.2">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3.2">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3.2">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3.2">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3.2">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3.2">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3.2">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3.2">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3.2">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3.2">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3.2">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3.2">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3.2">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3.2">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3.2">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3.2">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3.2">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3.2">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3.2">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3.2">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3.2">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3.2">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3.2">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3.2">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3.2">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3.2">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3.2">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3.2">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3.2">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3.2">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3.2">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3.2">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3.2">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3.2">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3.2">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3.2">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3.2">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3.2">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3.2">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3.2">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3.2">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3.2">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3.2">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3.2">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3.2">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3.2">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3.2">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3.2">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3.2">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3.2">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3.2">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3.2">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3.2">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3.2">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3.2">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3.2">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3.2">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3.2">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3.2">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3.2">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3.2">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3.2">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3.2">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3.2">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3.2">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3.2">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3.2">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3.2">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3.2">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3.2">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3.2">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3.2">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3.2">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3.2">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3.2">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3.2">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3.2">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3.2">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3.2">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3.2">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3.2">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3.2">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3.2">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3.2">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3.2">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3.2">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3.2">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3.2">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3.2">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3.2">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3.2">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3.2">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3.2">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3.2">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3.2">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3.2">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3.2">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3.2">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3.2">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3.2">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3.2">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3.2">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3.2">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3.2">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3.2">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3.2">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3.2">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3.2">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3.2">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3.2">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3.2">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3.2">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3.2">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3.2">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3.2">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3.2">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3.2">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3.2">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3.2">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3.2">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3.2">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3.2">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3.2">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3.2">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3.2">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3.2">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3.2">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3.2">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3.2">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3.2">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3.2">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3.2">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3.2">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3.2">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3.2">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3.2">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3.2">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3.2">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3.2">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3.2">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3.2">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3.2">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3.2">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3.2">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3.2">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3.2">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3.2">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3.2">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3.2">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3.2">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3.2">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3.2">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3.2">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3.2">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3.2">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3.2">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3.2">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3.2">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3.2">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3.2">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3.2">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3.2">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3.2">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3.2">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3.2">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3.2">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3.2">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3.2">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3.2">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3.2">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3.2">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3.2">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3.2">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3.2">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3.2">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3.2">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3.2">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3.2">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3.2">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3.2">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3.2">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3.2">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3.2">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3.2">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3.2">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3.2">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3.2">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3.2">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3.2">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3.2">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3.2">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3.2">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3.2">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3.2">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3.2">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3.2">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3.2">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3.2">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3.2">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3.2">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3.2">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3.2">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3.2">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3.2">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3.2">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3.2">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3.2">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3.2">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3.2">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3.2">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3.2">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3.2">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3.2">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3.2">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3.2">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3.2">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3.2">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3.2">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3.2">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3.2">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3.2">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3.2">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3.2">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3.2">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3.2">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3.2">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3.2">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3.2">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3.2">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3.2">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3.2">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3.2">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3.2">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3.2">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3.2">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3.2">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3.2">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3.2">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3.2">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3.2">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3.2">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3.2">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3.2">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3.2">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3.2">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3.2">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3.2">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3.2">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3.2">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3.2">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3.2">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3.2">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3.2">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3.2">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3.2">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3.2">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3.2">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3.2">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3.2">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3.2">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3.2">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3.2">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3.2">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3.2">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3.2">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3.2">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3.2">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3.2">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3.2">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3.2">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3.2">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3.2">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3.2">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3.2">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3.2">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3.2">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3.2">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3.2">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3.2">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3.2">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3.2">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3.2">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3.2">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3.2">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3.2">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3.2">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3.2">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3.2">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3.2">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3.2">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3.2">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3.2">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3.2">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3.2">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3.2">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3.2">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3.2">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3.2">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3.2">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3.2">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3.2">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3.2">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3.2">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3.2">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3.2">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3.2">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3.2">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3.2">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3.2">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3.2">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3.2">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3.2">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3.2">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3.2">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3.2">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3.2">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3.2">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3.2">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3.2">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3.2">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3.2">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3.2">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3.2">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3.2">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3.2">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3.2">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3.2">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3.2">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3.2">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3.2">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3.2">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3.2">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3.2">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3.2">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3.2">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3.2">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3.2">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3.2">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3.2">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3.2">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3.2">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3.2">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3.2">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3.2">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3.2">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3.2">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3.2">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3.2">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3.2">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3.2">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3.2">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3.2">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3.2">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3.2">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3.2">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3.2">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3.2">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3.2">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3.2">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3.2">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3.2">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3.2">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3.2">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3.2">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3.2">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3.2">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3.2">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3.2">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3.2">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3.2">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3.2">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3.2">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3.2">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3.2">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3.2">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3.2">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3.2">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3.2">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3.2">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3.2">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3.2">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3.2">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3.2">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3.2">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3.2">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3.2">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3.2">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3.2">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3.2">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3.2">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3.2">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3.2">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3.2">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3.2">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3.2">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3.2">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3.2">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3.2">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3.2">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3.2">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3.2">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3.2">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3.2">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3.2">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3.2">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3.2">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3.2">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3.2">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3.2">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3.2">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3.2">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3.2">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3.2">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3.2">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3.2">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3.2">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3.2">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3.2">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3.2">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3.2">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3.2">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3.2">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3.2">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3.2">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3.2">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3.2">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3.2">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3.2">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3.2">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3.2">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3.2">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3.2">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3.2">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3.2">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3.2">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3.2">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3.2">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3.2">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3.2">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3.2">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3.2">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3.2">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3.2">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3.2">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3.2">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3.2">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3.2">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3.2">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3.2">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3.2">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3.2">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3.2">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3.2">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3.2">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3.2">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3.2">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3.2">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3.2">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3.2">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3.2">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3.2">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3.2">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3.2">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3.2">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3.2">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3.2">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3.2">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3.2">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3.2">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3.2">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3.2">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3.2">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3.2">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3.2">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3.2">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3.2">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3.2">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3.2">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3.2">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3.2">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3.2">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3.2">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3.2">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3.2">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3.2">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3.2">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3.2">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3.2">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3.2">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3.2">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3.2">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3.2">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3.2">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3.2">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3.2">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3.2">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3.2">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3.2">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3.2">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3.2">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3.2">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3.2">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3.2">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3.2">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3.2">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3.2">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3.2">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3.2">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3.2">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3.2">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3.2">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3.2">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3.2">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3.2">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3.2">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3.2">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3.2">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3.2">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3.2">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3.2">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3.2">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3.2">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3.2">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3.2">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3.2">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3.2">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3.2">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3.2">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3.2">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3.2">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3.2">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3.2">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3.2">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3.2">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3.2">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3.2">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3.2">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3.2">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3.2">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3.2">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3.2">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3.2">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3.2">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3.2">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3.2">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3.2">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3.2">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3.2">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3.2">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3.2">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3.2">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3.2">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3.2">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3.2">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3.2">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3.2">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3.2">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3.2">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3.2">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3.2">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3.2">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3.2">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3.2">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3.2">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3.2">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3.2">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3.2">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3.2">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3.2">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3.2">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3.2">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3.2">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3.2">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3.2">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3.2">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3.2">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3.2">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3.2">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3.2">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3.2">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3.2">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3.2">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3.2">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3.2">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3.2">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3.2">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3.2">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3.2">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3.2">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3.2">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3.2">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3.2">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3.2">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3.2">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3.2">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3.2">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3.2">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3.2">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3.2">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3.2">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3.2">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3.2">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3.2">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3.2">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3.2">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3.2">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3.2">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3.2">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3.2">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3.2">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3.2">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3.2">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3.2">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3.2">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3.2">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3.2">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3.2">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3.2">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3.2">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3.2">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3.2">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3.2">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3.2">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3.2">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3.2">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3.2">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3.2">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3.2">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3.2">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3.2">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3.2">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3.2">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3.2">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3.2">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3.2">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3.2">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3.2">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3.2">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3.2">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3.2">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3.2">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3.2">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3.2">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3.2">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3.2">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3.2">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3.2">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3.2">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3.2">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3.2">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3.2">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3.2">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3.2">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3.2">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3.2">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3.2">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3.2">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3.2">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3.2">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3.2">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3.2">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3.2">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3.2">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3.2">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3.2">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3.2">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3.2">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3.2">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3.2">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3.2">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3.2">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3.2">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3.2">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3.2">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3.2">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3.2">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3.2">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3.2">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3.2">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3.2">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3.2">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3.2">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3.2">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3.2">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3.2">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3.2">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3.2">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3.2">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3.2">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3.2">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3.2">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3.2">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3.2">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3.2">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3.2">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3.2">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3.2">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3.2">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3.2">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3.2">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3.2">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3.2">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3.2">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3.2">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3.2">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3.2">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3.2">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3.2">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3.2">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3.2">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3.2">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3.2">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3.2">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3.2">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3.2">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3.2">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3.2">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3.2">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3.2">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3.2">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3.2">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3.2">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3.2">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3.2">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3.2">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3.2">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3.2">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3.2">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3.2">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3.2">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3.2">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3.2">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3.2">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3.2">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3.2">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3.2">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3.2">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3.2">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3.2">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3.2">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3.2">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3.2">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3.2">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3.2">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3.2">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3.2">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3.2">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3.2">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3.2">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3.2">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3.2">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3.2">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3.2">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3.2">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3.2">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3.2">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3.2">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3.2">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3.2">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3.2">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3.2">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3.2">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3.2">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3.2">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3.2">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3.2">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3.2">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3.2">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3.2">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3.2">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3.2">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3.2">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3.2">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3.2">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3.2">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3.2">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3.2">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3.2">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3.2">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3.2">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3.2">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3.2">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3.2">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3.2">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3.2">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3.2">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3.2">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3.2">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3.2">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3.2">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3.2">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3.2">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3.2">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3.2">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3.2">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3.2">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3.2">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3.2">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3.2">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3.2">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3.2">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3.2">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3.2">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3.2">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3.2">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3.2">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3.2">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3.2">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3.2">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3.2">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3.2">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3.2">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3.2">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3.2">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3.2">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3.2">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3.2">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3.2">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3.2">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3.2">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3.2">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3.2">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3.2">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3.2">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3.2">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3.2">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3.2">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3.2">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3.2">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3.2">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3.2">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3.2">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3.2">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3.2">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3.2">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3.2">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3.2">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3.2">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3.2">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3.2">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3.2">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3.2">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3.2">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3.2">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3.2">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3.2">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3.2">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3.2">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3.2">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3.2">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3.2">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3.2">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3.2">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3.2">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3.2">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3.2">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3.2">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3.2">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3.2">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3.2">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3.2">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3.2">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3.2">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3.2">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3.2">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2">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2">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2">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2">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2">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2">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2">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2">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2">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2">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2">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2">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2">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2">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2">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2">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2">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2">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2">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2">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2">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2">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3.2">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3.2">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3.2">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3.2">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3.2">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3.2">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3.2">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3.2">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3.2">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3.2">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3.2">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3.2">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3.2">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3.2">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3.2">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3.2">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3.2">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3.2">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3.2">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3.2">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3.2">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3.2">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3.2">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3.2">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3.2">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3.2">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3.2">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3.2">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3.2">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3.2">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3.2">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3.2">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3.2">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3.2">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3.2">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3.2">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3.2">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3.2">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3.2">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3.2">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3.2">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3.2">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3.2">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3.2">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3.2">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3.2">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3.2">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3.2">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3.2">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3.2">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3.2">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3.2">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3.2">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3.2">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3.2">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3.2">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3.2">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3.2">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3.2">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3.2">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3.2">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3.2">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3.2">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3.2">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3.2">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3.2">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3.2">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3.2">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3.2">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3.2">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3.2">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3.2">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3.2">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3.2">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3.2">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3.2">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3.2">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3.2">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3.2">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3.2">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3.2">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3.2">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3.2">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3.2">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3.2">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3.2">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3.2">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3.2">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3.2">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3.2">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3.2">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3.2">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3.2">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3.2">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3.2">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3.2">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3.2">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3.2">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3.2">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3.2">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3.2">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3.2">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H21" sqref="H21"/>
    </sheetView>
  </sheetViews>
  <sheetFormatPr defaultColWidth="8.81640625" defaultRowHeight="15"/>
  <cols>
    <col min="1" max="1" width="5.1796875" customWidth="1"/>
    <col min="2" max="2" width="30.1796875" bestFit="1" customWidth="1"/>
    <col min="3" max="5" width="11.1796875" customWidth="1"/>
    <col min="6" max="6" width="2.81640625" customWidth="1"/>
    <col min="7" max="9" width="11.81640625" customWidth="1"/>
  </cols>
  <sheetData>
    <row r="1" spans="1:23" ht="17.399999999999999">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Oct 23</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0"/>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6">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6">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6">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6">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6">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6">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6">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6">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6">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v>275</v>
      </c>
      <c r="D21" s="41">
        <v>203</v>
      </c>
      <c r="E21" s="199">
        <f t="shared" si="2"/>
        <v>478</v>
      </c>
      <c r="F21" s="71"/>
      <c r="G21" s="3011">
        <v>1321</v>
      </c>
      <c r="H21" s="3011">
        <v>924</v>
      </c>
      <c r="I21" s="199">
        <f t="shared" si="3"/>
        <v>2245</v>
      </c>
      <c r="J21" s="71"/>
      <c r="K21" s="71"/>
      <c r="L21" s="71"/>
      <c r="M21" s="332"/>
      <c r="N21" s="332"/>
      <c r="O21" s="332"/>
      <c r="P21" s="332"/>
      <c r="Q21" s="332"/>
      <c r="R21" s="332"/>
      <c r="S21" s="332"/>
      <c r="T21" s="332"/>
      <c r="U21" s="332"/>
      <c r="V21" s="332"/>
      <c r="W21" s="332"/>
    </row>
    <row r="22" spans="1:23" ht="15.6">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6">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ht="15.6">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6">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ht="15.6">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20268</v>
      </c>
      <c r="D27" s="199">
        <f>SUM(D11:D26)</f>
        <v>8605</v>
      </c>
      <c r="E27" s="199">
        <f>SUM(E11:E26)</f>
        <v>28873</v>
      </c>
      <c r="F27" s="71"/>
      <c r="G27" s="199">
        <f>SUM(G11:G26)</f>
        <v>16911</v>
      </c>
      <c r="H27" s="199">
        <f>SUM(H11:H26)</f>
        <v>23096</v>
      </c>
      <c r="I27" s="199">
        <f>SUM(I11:I26)</f>
        <v>40007</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18" sqref="D18"/>
    </sheetView>
  </sheetViews>
  <sheetFormatPr defaultColWidth="8.81640625" defaultRowHeight="15"/>
  <cols>
    <col min="1" max="1" width="3" customWidth="1"/>
    <col min="2" max="2" width="66" bestFit="1" customWidth="1"/>
    <col min="3" max="3" width="22.1796875" customWidth="1"/>
    <col min="4" max="4" width="20.81640625" customWidth="1"/>
    <col min="5" max="5" width="24.1796875" style="753" customWidth="1"/>
    <col min="6" max="7" width="8.81640625" style="753"/>
    <col min="8" max="8" width="52.54296875" customWidth="1"/>
    <col min="9" max="9" width="68.81640625" customWidth="1"/>
  </cols>
  <sheetData>
    <row r="1" spans="1:63" ht="36" customHeight="1">
      <c r="A1" s="149" t="str">
        <f>+Summary!A1</f>
        <v>Public Health Wales Trust</v>
      </c>
      <c r="B1" s="71"/>
      <c r="C1" s="359" t="s">
        <v>51</v>
      </c>
      <c r="D1" s="360" t="str">
        <f>+Summary!H1</f>
        <v>Oct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3"/>
      <c r="G5" s="911">
        <f>D28+D37</f>
        <v>7601</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8" t="str">
        <f>Summary!$V$1</f>
        <v>Apr 23</v>
      </c>
      <c r="D7" s="361" t="str">
        <f>+D1</f>
        <v>Oct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33615</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34484</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2328</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49425</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15264</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67017</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101501</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55901</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5673</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63774</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37727</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5939</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7867</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29860</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4035</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29860</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Oct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6" thickBot="1">
      <c r="A55" s="380">
        <f>A49+1</f>
        <v>31</v>
      </c>
      <c r="B55" s="591" t="s">
        <v>1464</v>
      </c>
      <c r="C55" s="42">
        <v>4781</v>
      </c>
      <c r="D55" s="42">
        <v>4610</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6" thickBot="1">
      <c r="A56" s="381">
        <f>A55+1</f>
        <v>32</v>
      </c>
      <c r="B56" s="592" t="s">
        <v>1465</v>
      </c>
      <c r="C56" s="27">
        <v>972</v>
      </c>
      <c r="D56" s="27">
        <v>926</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6" thickBot="1">
      <c r="A57" s="381">
        <f t="shared" ref="A57:A64" si="8">A56+1</f>
        <v>33</v>
      </c>
      <c r="B57" s="592" t="s">
        <v>1466</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6" thickBot="1">
      <c r="A58" s="381">
        <f t="shared" si="8"/>
        <v>34</v>
      </c>
      <c r="B58" s="592" t="s">
        <v>1467</v>
      </c>
      <c r="C58" s="27">
        <v>92</v>
      </c>
      <c r="D58" s="27">
        <v>407</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6" thickBot="1">
      <c r="A59" s="381">
        <f t="shared" si="8"/>
        <v>35</v>
      </c>
      <c r="B59" s="1001" t="s">
        <v>1468</v>
      </c>
      <c r="C59" s="27">
        <v>1586</v>
      </c>
      <c r="D59" s="27">
        <v>1485</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6" thickBot="1">
      <c r="A60" s="381">
        <f t="shared" si="8"/>
        <v>36</v>
      </c>
      <c r="B60" s="592" t="s">
        <v>1469</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1470</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1">
        <f t="shared" si="8"/>
        <v>40</v>
      </c>
      <c r="B64" s="1022" t="s">
        <v>410</v>
      </c>
      <c r="C64" s="117">
        <f>SUM(C55:C63)</f>
        <v>7564</v>
      </c>
      <c r="D64" s="117">
        <f>SUM(D55:D63)</f>
        <v>7600.71407</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2317</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63</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7" t="s">
        <v>296</v>
      </c>
      <c r="C73" s="29">
        <v>29907</v>
      </c>
      <c r="D73" s="29">
        <f>D34+D25-D72</f>
        <v>55838</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3403</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7" t="s">
        <v>296</v>
      </c>
      <c r="C77" s="29">
        <v>14693</v>
      </c>
      <c r="D77" s="29">
        <f>D18-D76</f>
        <v>11861</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81640625" defaultRowHeight="15"/>
  <cols>
    <col min="1" max="1" width="4.81640625" customWidth="1"/>
    <col min="2" max="2" width="60.81640625" customWidth="1"/>
    <col min="3" max="6" width="12.453125" customWidth="1"/>
    <col min="7" max="8" width="13.81640625" customWidth="1"/>
    <col min="9" max="11" width="16" customWidth="1"/>
    <col min="12" max="12" width="32.1796875" customWidth="1"/>
    <col min="13" max="13" width="8.81640625" style="788"/>
    <col min="14" max="17" width="8.81640625" style="754"/>
    <col min="18" max="18" width="54.1796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Oct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6">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5.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6">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2"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6">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ht="15.6">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2"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ht="15.6">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6">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6">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6">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6">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6">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6">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6">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6">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6">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6">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6">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6">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topLeftCell="B1" zoomScale="70" zoomScaleNormal="70" zoomScaleSheetLayoutView="55" workbookViewId="0">
      <selection activeCell="P13" sqref="P13"/>
    </sheetView>
  </sheetViews>
  <sheetFormatPr defaultColWidth="8.81640625" defaultRowHeight="15"/>
  <cols>
    <col min="1" max="1" width="5.81640625" customWidth="1"/>
    <col min="2" max="2" width="60.81640625" customWidth="1"/>
    <col min="3" max="3" width="13.08984375" bestFit="1" customWidth="1"/>
    <col min="4" max="4" width="16.08984375" bestFit="1" customWidth="1"/>
    <col min="5" max="5" width="14.81640625" bestFit="1" customWidth="1"/>
    <col min="6" max="6" width="12.54296875" bestFit="1" customWidth="1"/>
    <col min="7" max="7" width="12.1796875" bestFit="1" customWidth="1"/>
    <col min="8" max="8" width="13.81640625" bestFit="1" customWidth="1"/>
    <col min="9" max="9" width="11.08984375" bestFit="1" customWidth="1"/>
    <col min="10" max="10" width="13.54296875" customWidth="1"/>
    <col min="11" max="14" width="11.08984375" customWidth="1"/>
    <col min="15" max="15" width="10.81640625" customWidth="1"/>
    <col min="16" max="18" width="11.08984375" customWidth="1"/>
    <col min="19" max="19" width="11.1796875" bestFit="1" customWidth="1"/>
    <col min="21" max="21" width="43.1796875" customWidth="1"/>
    <col min="22" max="23" width="8.81640625" style="753"/>
    <col min="24" max="24" width="4.1796875" style="753" customWidth="1"/>
    <col min="25" max="25" width="53.453125" style="753" customWidth="1"/>
    <col min="26" max="26" width="91" style="753" bestFit="1" customWidth="1"/>
    <col min="27" max="29" width="8.81640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Oct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478</v>
      </c>
      <c r="O10" s="1657">
        <f>'D - Welsh NHS Assumptions'!E25</f>
        <v>2075</v>
      </c>
      <c r="P10" s="1657">
        <f>'B - Monthly Positions'!Q15-SUM(P13:P47)</f>
        <v>196866.80403000003</v>
      </c>
      <c r="Q10" s="1657">
        <f>'D - Welsh NHS Assumptions'!E24</f>
        <v>0</v>
      </c>
      <c r="R10" s="1657">
        <f>'D - Welsh NHS Assumptions'!E23</f>
        <v>190</v>
      </c>
      <c r="S10" s="1657">
        <v>0</v>
      </c>
      <c r="T10" s="1658">
        <f>SUM(C10:S10)</f>
        <v>225739.80403000003</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499</v>
      </c>
      <c r="Q13" s="1657"/>
      <c r="R13" s="1657"/>
      <c r="S13" s="1657"/>
      <c r="T13" s="1661">
        <f t="shared" ref="T13:T47" si="0">SUM(C13:S13)</f>
        <v>499</v>
      </c>
      <c r="U13" s="1662" t="s">
        <v>1476</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1462</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1476</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1476</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7125.2929999999997</v>
      </c>
      <c r="Q22" s="2547"/>
      <c r="R22" s="2547"/>
      <c r="S22" s="2547"/>
      <c r="T22" s="1664">
        <f t="shared" si="0"/>
        <v>7125.2929999999997</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1472</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1475</v>
      </c>
      <c r="C25" s="1"/>
      <c r="D25" s="1"/>
      <c r="E25" s="1"/>
      <c r="F25" s="1"/>
      <c r="G25" s="1"/>
      <c r="H25" s="1"/>
      <c r="I25" s="1"/>
      <c r="J25" s="1"/>
      <c r="K25" s="1"/>
      <c r="L25" s="1"/>
      <c r="M25" s="1"/>
      <c r="N25" s="1"/>
      <c r="O25" s="1"/>
      <c r="P25" s="1">
        <f>1330+203</f>
        <v>1533</v>
      </c>
      <c r="Q25" s="1"/>
      <c r="R25" s="1"/>
      <c r="S25" s="1"/>
      <c r="T25" s="1664">
        <f t="shared" si="0"/>
        <v>1533</v>
      </c>
      <c r="U25" s="1665" t="s">
        <v>1457</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1474</v>
      </c>
      <c r="C26" s="1"/>
      <c r="D26" s="1"/>
      <c r="E26" s="1"/>
      <c r="F26" s="1"/>
      <c r="G26" s="1"/>
      <c r="H26" s="1"/>
      <c r="I26" s="1"/>
      <c r="J26" s="1"/>
      <c r="K26" s="1"/>
      <c r="L26" s="1"/>
      <c r="M26" s="1"/>
      <c r="N26" s="1"/>
      <c r="O26" s="1"/>
      <c r="P26" s="1">
        <f>4257+680</f>
        <v>4937</v>
      </c>
      <c r="Q26" s="1"/>
      <c r="R26" s="1"/>
      <c r="S26" s="1"/>
      <c r="T26" s="1664">
        <f t="shared" si="0"/>
        <v>4937</v>
      </c>
      <c r="U26" s="1665" t="s">
        <v>1461</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1463</v>
      </c>
      <c r="C27" s="1"/>
      <c r="D27" s="1"/>
      <c r="E27" s="1"/>
      <c r="F27" s="1"/>
      <c r="G27" s="1"/>
      <c r="H27" s="1"/>
      <c r="I27" s="1"/>
      <c r="J27" s="1"/>
      <c r="K27" s="1"/>
      <c r="L27" s="1"/>
      <c r="M27" s="1"/>
      <c r="N27" s="1"/>
      <c r="O27" s="1"/>
      <c r="P27" s="1">
        <v>979</v>
      </c>
      <c r="Q27" s="1"/>
      <c r="R27" s="1"/>
      <c r="S27" s="1"/>
      <c r="T27" s="1664">
        <f t="shared" si="0"/>
        <v>979</v>
      </c>
      <c r="U27" s="1665" t="s">
        <v>1471</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t="s">
        <v>1483</v>
      </c>
      <c r="C28" s="1"/>
      <c r="D28" s="1"/>
      <c r="E28" s="1"/>
      <c r="F28" s="1"/>
      <c r="G28" s="1"/>
      <c r="H28" s="1"/>
      <c r="I28" s="1"/>
      <c r="J28" s="1"/>
      <c r="K28" s="1"/>
      <c r="L28" s="1"/>
      <c r="M28" s="1"/>
      <c r="N28" s="1"/>
      <c r="O28" s="1"/>
      <c r="P28" s="1">
        <v>237</v>
      </c>
      <c r="Q28" s="1"/>
      <c r="R28" s="1"/>
      <c r="S28" s="1"/>
      <c r="T28" s="1664">
        <f t="shared" si="0"/>
        <v>237</v>
      </c>
      <c r="U28" s="1665" t="s">
        <v>1484</v>
      </c>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478</v>
      </c>
      <c r="O48" s="199">
        <f t="shared" si="5"/>
        <v>2075</v>
      </c>
      <c r="P48" s="199">
        <f t="shared" si="5"/>
        <v>212559.93703000003</v>
      </c>
      <c r="Q48" s="199">
        <f t="shared" si="5"/>
        <v>0</v>
      </c>
      <c r="R48" s="199">
        <f t="shared" si="5"/>
        <v>190</v>
      </c>
      <c r="S48" s="199">
        <f t="shared" si="5"/>
        <v>0</v>
      </c>
      <c r="T48" s="199">
        <f t="shared" si="5"/>
        <v>241432.93703000003</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5033.2809999999999</v>
      </c>
      <c r="D53" s="2525">
        <v>6320.1769999999997</v>
      </c>
      <c r="E53" s="2536">
        <f>C53+D53</f>
        <v>11353.457999999999</v>
      </c>
      <c r="F53" s="2539"/>
      <c r="G53" s="2540" t="s">
        <v>1481</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580.13599999999997</v>
      </c>
      <c r="D54" s="2526">
        <v>805.11599999999999</v>
      </c>
      <c r="E54" s="2537">
        <f t="shared" ref="E54:E82" si="6">C54+D54</f>
        <v>1385.252</v>
      </c>
      <c r="F54" s="2542"/>
      <c r="G54" s="2538" t="s">
        <v>1481</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5613.4169999999995</v>
      </c>
      <c r="D83" s="2527">
        <f t="shared" si="9"/>
        <v>7125.2929999999997</v>
      </c>
      <c r="E83" s="117">
        <f>SUM(E53:E82)</f>
        <v>12738.71</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11" sqref="N11"/>
    </sheetView>
  </sheetViews>
  <sheetFormatPr defaultColWidth="8.81640625" defaultRowHeight="15"/>
  <cols>
    <col min="1" max="1" width="4.1796875" customWidth="1"/>
    <col min="2" max="2" width="69" customWidth="1"/>
    <col min="3" max="3" width="12" customWidth="1"/>
    <col min="4" max="4" width="13.1796875" customWidth="1"/>
    <col min="5" max="14" width="12.1796875" customWidth="1"/>
    <col min="15" max="15" width="13.81640625" style="753" customWidth="1"/>
    <col min="16" max="16" width="5.81640625" style="753" customWidth="1"/>
    <col min="17" max="17" width="32.453125" customWidth="1"/>
    <col min="18" max="18" width="95.81640625" customWidth="1"/>
  </cols>
  <sheetData>
    <row r="1" spans="1:44" ht="30">
      <c r="A1" s="79" t="str">
        <f>+Summary!A1</f>
        <v>Public Health Wales Trust</v>
      </c>
      <c r="B1" s="70"/>
      <c r="C1" s="70"/>
      <c r="D1" s="70"/>
      <c r="E1" s="70"/>
      <c r="F1" s="70"/>
      <c r="G1" s="70"/>
      <c r="H1" s="70"/>
      <c r="I1" s="70"/>
      <c r="J1" s="71"/>
      <c r="K1" s="71"/>
      <c r="L1" s="70"/>
      <c r="M1" s="150" t="s">
        <v>460</v>
      </c>
      <c r="N1" s="72" t="str">
        <f>+Summary!H1</f>
        <v>Oct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19817.84</v>
      </c>
      <c r="K13" s="3">
        <f t="shared" ref="K13:N13" si="2">J13</f>
        <v>19817.84</v>
      </c>
      <c r="L13" s="3">
        <f t="shared" si="2"/>
        <v>19817.84</v>
      </c>
      <c r="M13" s="3">
        <f t="shared" si="2"/>
        <v>19817.84</v>
      </c>
      <c r="N13" s="3">
        <f t="shared" si="2"/>
        <v>19817.84</v>
      </c>
      <c r="O13" s="167">
        <f t="shared" si="0"/>
        <v>212560.85516999997</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1724.9739999999999</v>
      </c>
      <c r="K15" s="3">
        <f t="shared" ref="K15:N15" si="3">J15</f>
        <v>1724.9739999999999</v>
      </c>
      <c r="L15" s="3">
        <f t="shared" si="3"/>
        <v>1724.9739999999999</v>
      </c>
      <c r="M15" s="3">
        <f t="shared" si="3"/>
        <v>1724.9739999999999</v>
      </c>
      <c r="N15" s="3">
        <f t="shared" si="3"/>
        <v>1724.9739999999999</v>
      </c>
      <c r="O15" s="167">
        <f>SUM(C15:N15)</f>
        <v>24458.001339999992</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f>AVERAGE(C18:I18)</f>
        <v>76.858142857142852</v>
      </c>
      <c r="K18" s="3">
        <f t="shared" ref="K18:N18" si="4">J18</f>
        <v>76.858142857142852</v>
      </c>
      <c r="L18" s="3">
        <f t="shared" si="4"/>
        <v>76.858142857142852</v>
      </c>
      <c r="M18" s="3">
        <f t="shared" si="4"/>
        <v>76.858142857142852</v>
      </c>
      <c r="N18" s="3">
        <f t="shared" si="4"/>
        <v>76.858142857142852</v>
      </c>
      <c r="O18" s="167">
        <f>SUM(C18:N18)</f>
        <v>922.29771428571428</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258.12200000000001</v>
      </c>
      <c r="K20" s="3">
        <f t="shared" ref="K20:M20" si="5">J20</f>
        <v>258.12200000000001</v>
      </c>
      <c r="L20" s="3">
        <f t="shared" si="5"/>
        <v>258.12200000000001</v>
      </c>
      <c r="M20" s="3">
        <f t="shared" si="5"/>
        <v>258.12200000000001</v>
      </c>
      <c r="N20" s="3">
        <v>629.30899999999997</v>
      </c>
      <c r="O20" s="167">
        <f t="shared" si="0"/>
        <v>5886.890330000002</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22871.659</v>
      </c>
      <c r="I21" s="169">
        <f t="shared" si="6"/>
        <v>17150.28</v>
      </c>
      <c r="J21" s="169">
        <f t="shared" si="6"/>
        <v>21877.794142857139</v>
      </c>
      <c r="K21" s="169">
        <f t="shared" si="6"/>
        <v>21877.794142857139</v>
      </c>
      <c r="L21" s="169">
        <f t="shared" si="6"/>
        <v>21877.794142857139</v>
      </c>
      <c r="M21" s="169">
        <f t="shared" si="6"/>
        <v>21877.794142857139</v>
      </c>
      <c r="N21" s="169">
        <f t="shared" si="6"/>
        <v>22248.981142857141</v>
      </c>
      <c r="O21" s="169">
        <f t="shared" si="6"/>
        <v>243828.04455428568</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f>I28</f>
        <v>11810.096</v>
      </c>
      <c r="K28" s="4">
        <f t="shared" ref="K28:M28" si="9">J28</f>
        <v>11810.096</v>
      </c>
      <c r="L28" s="4">
        <f t="shared" si="9"/>
        <v>11810.096</v>
      </c>
      <c r="M28" s="4">
        <f t="shared" si="9"/>
        <v>11810.096</v>
      </c>
      <c r="N28" s="4">
        <f>M28-2</f>
        <v>11808.096</v>
      </c>
      <c r="O28" s="723">
        <f t="shared" si="7"/>
        <v>138756.39750000002</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f t="shared" ref="J29:M29" si="10">I29</f>
        <v>8415.0069999999996</v>
      </c>
      <c r="K29" s="4">
        <f t="shared" si="10"/>
        <v>8415.0069999999996</v>
      </c>
      <c r="L29" s="4">
        <f t="shared" si="10"/>
        <v>8415.0069999999996</v>
      </c>
      <c r="M29" s="4">
        <f t="shared" si="10"/>
        <v>8415.0069999999996</v>
      </c>
      <c r="N29" s="4">
        <f>M29+2195+393-575+1228</f>
        <v>11656.007</v>
      </c>
      <c r="O29" s="723">
        <f t="shared" si="7"/>
        <v>99614.613209999996</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EFL'!D31</f>
        <v>3463.8405200000161</v>
      </c>
      <c r="O31" s="167">
        <f t="shared" si="7"/>
        <v>3463.8405200000161</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v>67.578000000000003</v>
      </c>
      <c r="I32" s="4">
        <v>11.494</v>
      </c>
      <c r="J32" s="4">
        <f>'J - Capital In Year Schemes'!M78</f>
        <v>149</v>
      </c>
      <c r="K32" s="4">
        <f>'J - Capital In Year Schemes'!N78</f>
        <v>362</v>
      </c>
      <c r="L32" s="4">
        <f>'J - Capital In Year Schemes'!O78</f>
        <v>602</v>
      </c>
      <c r="M32" s="4">
        <f>'J - Capital In Year Schemes'!P78</f>
        <v>262</v>
      </c>
      <c r="N32" s="4">
        <f>'J - Capital In Year Schemes'!Q78</f>
        <v>251.8</v>
      </c>
      <c r="O32" s="723">
        <f t="shared" si="7"/>
        <v>1992.7981499999999</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18825.784</v>
      </c>
      <c r="H34" s="169">
        <f t="shared" si="11"/>
        <v>16804.606</v>
      </c>
      <c r="I34" s="169">
        <f t="shared" si="11"/>
        <v>20236.596999999998</v>
      </c>
      <c r="J34" s="169">
        <f t="shared" si="11"/>
        <v>20374.102999999999</v>
      </c>
      <c r="K34" s="169">
        <f t="shared" si="11"/>
        <v>20587.102999999999</v>
      </c>
      <c r="L34" s="169">
        <f t="shared" si="11"/>
        <v>20827.102999999999</v>
      </c>
      <c r="M34" s="169">
        <f t="shared" si="11"/>
        <v>20487.102999999999</v>
      </c>
      <c r="N34" s="169">
        <f t="shared" si="11"/>
        <v>27179.743520000015</v>
      </c>
      <c r="O34" s="169">
        <f t="shared" si="11"/>
        <v>243827.64938000002</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0</v>
      </c>
      <c r="G35" s="859">
        <f t="shared" si="12"/>
        <v>0</v>
      </c>
      <c r="H35" s="859">
        <f t="shared" si="12"/>
        <v>0</v>
      </c>
      <c r="I35" s="859">
        <f t="shared" si="12"/>
        <v>1</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-1772.9360000000015</v>
      </c>
      <c r="H36" s="167">
        <f t="shared" si="13"/>
        <v>6067.0529999999999</v>
      </c>
      <c r="I36" s="167">
        <f t="shared" si="13"/>
        <v>-3086.3169999999991</v>
      </c>
      <c r="J36" s="167">
        <f t="shared" si="13"/>
        <v>1503.6911428571402</v>
      </c>
      <c r="K36" s="167">
        <f t="shared" si="13"/>
        <v>1290.6911428571402</v>
      </c>
      <c r="L36" s="167">
        <f t="shared" si="13"/>
        <v>1050.6911428571402</v>
      </c>
      <c r="M36" s="167">
        <f t="shared" si="13"/>
        <v>1390.6911428571402</v>
      </c>
      <c r="N36" s="167">
        <f t="shared" si="13"/>
        <v>-4930.7623771428734</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12283.656979999992</v>
      </c>
      <c r="I37" s="168">
        <f t="shared" si="14"/>
        <v>18350.709979999992</v>
      </c>
      <c r="J37" s="168">
        <f t="shared" si="14"/>
        <v>15264.392979999993</v>
      </c>
      <c r="K37" s="168">
        <f>J38</f>
        <v>16768.084122857133</v>
      </c>
      <c r="L37" s="168">
        <f>K38</f>
        <v>18058.775265714274</v>
      </c>
      <c r="M37" s="168">
        <f>L38</f>
        <v>19109.466408571414</v>
      </c>
      <c r="N37" s="168">
        <f>M38</f>
        <v>20500.157551428554</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12283.656979999992</v>
      </c>
      <c r="H38" s="167">
        <f t="shared" si="15"/>
        <v>18350.709979999992</v>
      </c>
      <c r="I38" s="167">
        <f t="shared" si="15"/>
        <v>15264.392979999993</v>
      </c>
      <c r="J38" s="167">
        <f t="shared" si="15"/>
        <v>16768.084122857133</v>
      </c>
      <c r="K38" s="167">
        <f t="shared" si="15"/>
        <v>18058.775265714274</v>
      </c>
      <c r="L38" s="167">
        <f t="shared" si="15"/>
        <v>19109.466408571414</v>
      </c>
      <c r="M38" s="167">
        <f t="shared" si="15"/>
        <v>20500.157551428554</v>
      </c>
      <c r="N38" s="167">
        <f t="shared" si="15"/>
        <v>15569.395174285681</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7</v>
      </c>
      <c r="D40" s="850">
        <f>+'B - Monthly Positions'!$C$5</f>
        <v>7</v>
      </c>
      <c r="E40" s="850">
        <f>+'B - Monthly Positions'!$C$5</f>
        <v>7</v>
      </c>
      <c r="F40" s="850">
        <f>+'B - Monthly Positions'!$C$5</f>
        <v>7</v>
      </c>
      <c r="G40" s="850">
        <f>+'B - Monthly Positions'!$C$5</f>
        <v>7</v>
      </c>
      <c r="H40" s="850">
        <f>+'B - Monthly Positions'!$C$5</f>
        <v>7</v>
      </c>
      <c r="I40" s="850">
        <f>+'B - Monthly Positions'!$C$5</f>
        <v>7</v>
      </c>
      <c r="J40" s="850">
        <f>+'B - Monthly Positions'!$C$5</f>
        <v>7</v>
      </c>
      <c r="K40" s="850">
        <f>+'B - Monthly Positions'!$C$5</f>
        <v>7</v>
      </c>
      <c r="L40" s="850">
        <f>+'B - Monthly Positions'!$C$5</f>
        <v>7</v>
      </c>
      <c r="M40" s="850">
        <f>+'B - Monthly Positions'!$C$5</f>
        <v>7</v>
      </c>
      <c r="N40" s="850">
        <f>+'B - Monthly Positions'!$C$5</f>
        <v>7</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L18" sqref="L18"/>
    </sheetView>
  </sheetViews>
  <sheetFormatPr defaultColWidth="8.81640625" defaultRowHeight="15"/>
  <cols>
    <col min="1" max="1" width="4.81640625" customWidth="1"/>
    <col min="2" max="2" width="60.81640625" customWidth="1"/>
    <col min="3" max="18" width="12.453125" customWidth="1"/>
  </cols>
  <sheetData>
    <row r="1" spans="1:40" ht="30">
      <c r="A1" s="79" t="str">
        <f>+Summary!A1</f>
        <v>Public Health Wales Trust</v>
      </c>
      <c r="B1" s="79"/>
      <c r="C1" s="71"/>
      <c r="D1" s="71"/>
      <c r="E1" s="71"/>
      <c r="F1" s="71"/>
      <c r="G1" s="71"/>
      <c r="H1" s="71"/>
      <c r="I1" s="71"/>
      <c r="J1" s="71"/>
      <c r="K1" s="71"/>
      <c r="L1" s="71"/>
      <c r="M1" s="71"/>
      <c r="N1" s="150" t="s">
        <v>80</v>
      </c>
      <c r="O1" s="72" t="str">
        <f>Summary!H1</f>
        <v>Oct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c r="I8" s="958">
        <f>+H8-$C8</f>
        <v>-0.95</v>
      </c>
      <c r="J8" s="957"/>
      <c r="K8" s="958">
        <f>+J8-$C8</f>
        <v>-0.95</v>
      </c>
      <c r="L8" s="957">
        <v>0.95279999999999998</v>
      </c>
      <c r="M8" s="958">
        <f>+L8-$C8</f>
        <v>2.8000000000000247E-3</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c r="I9" s="958">
        <f>+H9-$C9</f>
        <v>-0.95</v>
      </c>
      <c r="J9" s="957"/>
      <c r="K9" s="958">
        <f>+J9-$C9</f>
        <v>-0.95</v>
      </c>
      <c r="L9" s="957">
        <v>0.93789999999999996</v>
      </c>
      <c r="M9" s="958">
        <f>+L9-$C9</f>
        <v>-1.21E-2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c r="I10" s="958">
        <f>+H10-$C10</f>
        <v>-0.95</v>
      </c>
      <c r="J10" s="957"/>
      <c r="K10" s="958">
        <f>+J10-$C10</f>
        <v>-0.95</v>
      </c>
      <c r="L10" s="957">
        <v>0.95879999999999999</v>
      </c>
      <c r="M10" s="958">
        <f>+L10-$C10</f>
        <v>8.80000000000003E-3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c r="I11" s="958">
        <f>+H11-$C11</f>
        <v>-0.95</v>
      </c>
      <c r="J11" s="957"/>
      <c r="K11" s="958">
        <f>+J11-$C11</f>
        <v>-0.95</v>
      </c>
      <c r="L11" s="957">
        <v>0.96740000000000004</v>
      </c>
      <c r="M11" s="958">
        <f>+L11-$C11</f>
        <v>1.7400000000000082E-2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c r="I18" s="959"/>
      <c r="J18" s="957"/>
      <c r="K18" s="959"/>
      <c r="L18" s="957">
        <v>0.3266</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c r="I19" s="959"/>
      <c r="J19" s="957"/>
      <c r="K19" s="959"/>
      <c r="L19" s="957">
        <v>0.45779999999999998</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c r="I20" s="959"/>
      <c r="J20" s="957"/>
      <c r="K20" s="959"/>
      <c r="L20" s="957">
        <v>0.75029999999999997</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c r="I21" s="960"/>
      <c r="J21" s="957"/>
      <c r="K21" s="960"/>
      <c r="L21" s="957">
        <v>0.72689999999999999</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1640625" defaultRowHeight="15"/>
  <cols>
    <col min="3" max="3" width="26.1796875" customWidth="1"/>
    <col min="5" max="5" width="43" customWidth="1"/>
    <col min="6" max="6" width="19.81640625" customWidth="1"/>
    <col min="7" max="18" width="6.453125" customWidth="1"/>
    <col min="19" max="19" width="5.81640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Oct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Oct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Oct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Oct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Oct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Oct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Oct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Oct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Oct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Oct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Oct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Oct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Oct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Oct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Oct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Oct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Oct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Oct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Oct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Oct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Oct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Oct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-259.74471250826878</v>
      </c>
      <c r="O23" s="2895">
        <f>ORG!AE32</f>
        <v>-754.70690198581724</v>
      </c>
      <c r="P23" s="2895">
        <f>ORG!AF32</f>
        <v>-185.9634203191506</v>
      </c>
      <c r="Q23" s="2895">
        <f>ORG!AG32</f>
        <v>-207.3341880307205</v>
      </c>
      <c r="R23" s="2895">
        <f>ORG!AH32</f>
        <v>-649.62253920803914</v>
      </c>
      <c r="S23" s="2895">
        <f>ORG!O32</f>
        <v>-4191.2905509760021</v>
      </c>
      <c r="U23">
        <f t="shared" si="0"/>
        <v>-4191.2905509760021</v>
      </c>
    </row>
    <row r="24" spans="1:21">
      <c r="A24" s="2894" t="str">
        <f>ORG!$S$1</f>
        <v>Oct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Oct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259.74471250826878</v>
      </c>
      <c r="O25" s="2895">
        <f>ORG!AE34</f>
        <v>754.70690198581724</v>
      </c>
      <c r="P25" s="2895">
        <f>ORG!AF34</f>
        <v>185.9634203191506</v>
      </c>
      <c r="Q25" s="2895">
        <f>ORG!AG34</f>
        <v>207.3341880307205</v>
      </c>
      <c r="R25" s="2895">
        <f>ORG!AH34</f>
        <v>649.62253920803914</v>
      </c>
      <c r="S25" s="2895">
        <f>ORG!O34</f>
        <v>4191.2907809760018</v>
      </c>
      <c r="U25">
        <f t="shared" si="0"/>
        <v>4191.2907809760018</v>
      </c>
    </row>
    <row r="26" spans="1:21">
      <c r="A26" s="2894" t="str">
        <f>ORG!$S$1</f>
        <v>Oct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Oct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0</v>
      </c>
      <c r="O27" s="2895">
        <f>ORG!AE36</f>
        <v>0</v>
      </c>
      <c r="P27" s="2895">
        <f>ORG!AF36</f>
        <v>0</v>
      </c>
      <c r="Q27" s="2895">
        <f>ORG!AG36</f>
        <v>0</v>
      </c>
      <c r="R27" s="2895">
        <f>ORG!AH36</f>
        <v>-120</v>
      </c>
      <c r="S27" s="2895">
        <f>ORG!O36</f>
        <v>0</v>
      </c>
      <c r="U27">
        <f t="shared" si="0"/>
        <v>0</v>
      </c>
    </row>
    <row r="28" spans="1:21">
      <c r="A28" s="2894" t="str">
        <f>ORG!$S$1</f>
        <v>Oct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Oct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Oct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Oct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Oct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Oct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Oct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Oct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Oct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Oct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Oct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Oct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Oct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Oct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5.6843418860808015E-13</v>
      </c>
      <c r="O41" s="2895">
        <f>ORG!AE50</f>
        <v>1.1368683772161603E-13</v>
      </c>
      <c r="P41" s="2895">
        <f>ORG!AF50</f>
        <v>-8.5265128291212022E-14</v>
      </c>
      <c r="Q41" s="2895">
        <f>ORG!AG50</f>
        <v>1.4210854715202004E-13</v>
      </c>
      <c r="R41" s="2895">
        <f>ORG!AH50</f>
        <v>-120.00000000000034</v>
      </c>
      <c r="S41" s="2895">
        <f>ORG!O50</f>
        <v>4.0000015360419638E-5</v>
      </c>
      <c r="U41">
        <f t="shared" si="1"/>
        <v>4.0000015360419638E-5</v>
      </c>
    </row>
    <row r="42" spans="1:21">
      <c r="A42" s="2894" t="str">
        <f>ORG!$S$1</f>
        <v>Oct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Oct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5.6843418860808015E-13</v>
      </c>
      <c r="O43" s="2895">
        <f>ORG!AE54</f>
        <v>1.1368683772161603E-13</v>
      </c>
      <c r="P43" s="2895">
        <f>ORG!AF54</f>
        <v>-8.5265128291212022E-14</v>
      </c>
      <c r="Q43" s="2895">
        <f>ORG!AG54</f>
        <v>1.4210854715202004E-13</v>
      </c>
      <c r="R43" s="2895">
        <f>ORG!AH54</f>
        <v>-120.00000000000034</v>
      </c>
      <c r="S43" s="2895">
        <f>ORG!O54</f>
        <v>1.5347723092418164E-11</v>
      </c>
      <c r="U43">
        <f>S43+T43</f>
        <v>1.5347723092418164E-11</v>
      </c>
    </row>
    <row r="44" spans="1:21">
      <c r="A44" s="2894" t="str">
        <f>ORG!$S$1</f>
        <v>Oct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Oct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Oct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Oct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Oct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Oct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Oct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Oct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Oct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Oct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Oct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Oct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Oct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Oct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Oct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Oct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Oct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Oct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Oct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Oct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Oct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Oct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-4191.2905509760021</v>
      </c>
      <c r="U65">
        <f t="shared" si="3"/>
        <v>-4191.2905509760021</v>
      </c>
    </row>
    <row r="66" spans="1:21">
      <c r="A66" s="2894" t="str">
        <f>ORG!$S$1</f>
        <v>Oct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Oct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4191.2907809760018</v>
      </c>
      <c r="U67">
        <f t="shared" si="3"/>
        <v>4191.2907809760018</v>
      </c>
    </row>
    <row r="68" spans="1:21">
      <c r="A68" s="2894" t="str">
        <f>ORG!$S$1</f>
        <v>Oct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Oct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Oct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Oct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Oct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Oct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Oct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Oct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Oct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Oct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Oct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Oct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Oct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Oct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Oct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Oct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4.0000015360419638E-5</v>
      </c>
      <c r="U83">
        <f t="shared" si="4"/>
        <v>4.0000015360419638E-5</v>
      </c>
    </row>
    <row r="84" spans="1:21">
      <c r="A84" s="2894" t="str">
        <f>ORG!$S$1</f>
        <v>Oct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Oct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Oct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Oct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Oct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Oct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Oct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Oct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Oct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Oct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Oct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Oct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Oct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Oct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Oct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Oct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Oct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Oct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Oct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Oct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Oct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Oct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Oct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Oct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Oct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Oct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Oct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Oct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Oct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Oct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Oct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Oct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Oct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Oct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Oct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Oct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Oct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Oct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Oct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Oct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Oct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Oct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Oct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Oct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Oct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Oct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Oct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Oct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Oct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Oct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Oct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Oct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Oct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Oct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Oct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Oct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Oct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Oct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Oct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Oct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Oct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Oct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Oct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Oct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Oct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Oct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Oct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Oct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Oct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Oct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Oct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Oct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Oct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Oct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Oct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Oct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Oct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Oct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Oct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Oct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Oct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Oct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Oct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Oct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Oct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Oct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Oct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Oct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Oct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Oct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Oct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Oct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Oct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Oct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Oct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Oct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Oct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Oct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Oct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Oct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Oct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Oct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Oct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Oct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Oct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Oct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Oct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Oct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Oct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Oct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Oct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Oct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Oct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Oct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Oct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Oct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Oct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Oct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Oct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Oct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Oct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Oct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Oct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Oct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Oct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Oct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Oct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Oct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Oct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Oct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Oct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Oct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Oct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Oct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Oct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Oct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Oct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Oct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Oct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Oct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Oct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Oct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Oct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Oct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Oct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Oct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Oct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Oct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Oct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Oct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Oct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Oct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Oct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Oct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Oct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Oct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Oct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Oct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Oct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Oct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Oct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Oct 23</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Oct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Oct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Oct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Oct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Oct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Oct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Oct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Oct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Oct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Oct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Oct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Oct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Oct 23</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Oct 23</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Oct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Oct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Oct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Oct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Oct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Oct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Oct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Oct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4.0000015360419638E-5</v>
      </c>
      <c r="U267">
        <f t="shared" si="12"/>
        <v>4.0000015360419638E-5</v>
      </c>
    </row>
    <row r="268" spans="1:21">
      <c r="A268" s="2894" t="str">
        <f>ORG!$S$1</f>
        <v>Oct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4.0000015360419638E-5</v>
      </c>
      <c r="U268">
        <f t="shared" si="12"/>
        <v>4.0000015360419638E-5</v>
      </c>
    </row>
    <row r="269" spans="1:21">
      <c r="A269" s="2894" t="str">
        <f>ORG!$S$1</f>
        <v>Oct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4.0000015360419638E-5</v>
      </c>
      <c r="U269">
        <f t="shared" si="12"/>
        <v>4.0000015360419638E-5</v>
      </c>
    </row>
    <row r="270" spans="1:21">
      <c r="A270" s="2894" t="str">
        <f>ORG!$S$1</f>
        <v>Oct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4.0000015360419638E-5</v>
      </c>
      <c r="U270">
        <f t="shared" si="12"/>
        <v>4.0000015360419638E-5</v>
      </c>
    </row>
    <row r="271" spans="1:21">
      <c r="A271" s="2894" t="str">
        <f>ORG!$S$1</f>
        <v>Oct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Oct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Oct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1994</v>
      </c>
      <c r="O273">
        <f>'B - Monthly Positions'!L13</f>
        <v>1994</v>
      </c>
      <c r="P273">
        <f>'B - Monthly Positions'!M13</f>
        <v>1994</v>
      </c>
      <c r="Q273">
        <f>'B - Monthly Positions'!N13</f>
        <v>1994</v>
      </c>
      <c r="R273">
        <f>'B - Monthly Positions'!O13</f>
        <v>1995</v>
      </c>
      <c r="S273">
        <f>'B - Monthly Positions'!Q13</f>
        <v>24458</v>
      </c>
      <c r="U273">
        <f t="shared" si="12"/>
        <v>24458</v>
      </c>
    </row>
    <row r="274" spans="1:21">
      <c r="A274" s="2894" t="str">
        <f>ORG!$S$1</f>
        <v>Oct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18</v>
      </c>
      <c r="O274">
        <f>'B - Monthly Positions'!L14</f>
        <v>18</v>
      </c>
      <c r="P274">
        <f>'B - Monthly Positions'!M14</f>
        <v>18</v>
      </c>
      <c r="Q274">
        <f>'B - Monthly Positions'!N14</f>
        <v>18</v>
      </c>
      <c r="R274">
        <f>'B - Monthly Positions'!O14</f>
        <v>18</v>
      </c>
      <c r="S274">
        <f>'B - Monthly Positions'!Q14</f>
        <v>224</v>
      </c>
      <c r="U274">
        <f t="shared" si="12"/>
        <v>224</v>
      </c>
    </row>
    <row r="275" spans="1:21">
      <c r="A275" s="2894" t="str">
        <f>ORG!$S$1</f>
        <v>Oct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18415.223663333334</v>
      </c>
      <c r="O275">
        <f>'B - Monthly Positions'!L15</f>
        <v>18274.598436666667</v>
      </c>
      <c r="P275">
        <f>'B - Monthly Positions'!M15</f>
        <v>18013.784526666666</v>
      </c>
      <c r="Q275">
        <f>'B - Monthly Positions'!N15</f>
        <v>18159.388766666667</v>
      </c>
      <c r="R275">
        <f>'B - Monthly Positions'!O15</f>
        <v>21313.941636666666</v>
      </c>
      <c r="S275">
        <f>'B - Monthly Positions'!Q15</f>
        <v>212559.93703000003</v>
      </c>
      <c r="U275">
        <f t="shared" si="12"/>
        <v>212559.93703000003</v>
      </c>
    </row>
    <row r="276" spans="1:21">
      <c r="A276" s="2894" t="str">
        <f>ORG!$S$1</f>
        <v>Oct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462</v>
      </c>
      <c r="O276">
        <f>'B - Monthly Positions'!L16</f>
        <v>462</v>
      </c>
      <c r="P276">
        <f>'B - Monthly Positions'!M16</f>
        <v>460</v>
      </c>
      <c r="Q276">
        <f>'B - Monthly Positions'!N16</f>
        <v>457</v>
      </c>
      <c r="R276">
        <f>'B - Monthly Positions'!O16</f>
        <v>457</v>
      </c>
      <c r="S276">
        <f>'B - Monthly Positions'!Q16</f>
        <v>6201</v>
      </c>
      <c r="U276">
        <f t="shared" si="12"/>
        <v>6201</v>
      </c>
    </row>
    <row r="277" spans="1:21">
      <c r="A277" s="2894" t="str">
        <f>ORG!$S$1</f>
        <v>Oct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20889.223663333334</v>
      </c>
      <c r="O277">
        <f>'B - Monthly Positions'!L17</f>
        <v>20748.598436666667</v>
      </c>
      <c r="P277">
        <f>'B - Monthly Positions'!M17</f>
        <v>20485.784526666666</v>
      </c>
      <c r="Q277">
        <f>'B - Monthly Positions'!N17</f>
        <v>20628.388766666667</v>
      </c>
      <c r="R277">
        <f>'B - Monthly Positions'!O17</f>
        <v>23783.941636666666</v>
      </c>
      <c r="S277">
        <f>'B - Monthly Positions'!Q17</f>
        <v>243442.93703000003</v>
      </c>
      <c r="U277">
        <f t="shared" si="12"/>
        <v>243442.93703000003</v>
      </c>
    </row>
    <row r="278" spans="1:21">
      <c r="A278" s="2894" t="str">
        <f>ORG!$S$1</f>
        <v>Oct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Oct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Oct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11578.756573333334</v>
      </c>
      <c r="O280">
        <f>'B - Monthly Positions'!L20</f>
        <v>11591.531116666667</v>
      </c>
      <c r="P280">
        <f>'B - Monthly Positions'!M20</f>
        <v>11627.363283333334</v>
      </c>
      <c r="Q280">
        <f>'B - Monthly Positions'!N20</f>
        <v>11617.520383333334</v>
      </c>
      <c r="R280">
        <f>'B - Monthly Positions'!O20</f>
        <v>11948.520383333334</v>
      </c>
      <c r="S280">
        <f>'B - Monthly Positions'!Q20</f>
        <v>139584.69174000001</v>
      </c>
      <c r="U280">
        <f t="shared" si="12"/>
        <v>139584.69174000001</v>
      </c>
    </row>
    <row r="281" spans="1:21">
      <c r="A281" s="2894" t="str">
        <f>ORG!$S$1</f>
        <v>Oct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8738.5770899999989</v>
      </c>
      <c r="O281">
        <f>'B - Monthly Positions'!L21</f>
        <v>8585.1773199999989</v>
      </c>
      <c r="P281">
        <f>'B - Monthly Positions'!M21</f>
        <v>8286.5312433333329</v>
      </c>
      <c r="Q281">
        <f>'B - Monthly Positions'!N21</f>
        <v>8438.9783833333331</v>
      </c>
      <c r="R281">
        <f>'B - Monthly Positions'!O21</f>
        <v>11383.831253333334</v>
      </c>
      <c r="S281">
        <f>'B - Monthly Positions'!Q21</f>
        <v>96995.254289999997</v>
      </c>
      <c r="U281">
        <f t="shared" si="12"/>
        <v>96995.254289999997</v>
      </c>
    </row>
    <row r="282" spans="1:21">
      <c r="A282" s="2894" t="str">
        <f>ORG!$S$1</f>
        <v>Oct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Oct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Oct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Oct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Oct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Oct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Oct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Oct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Oct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Oct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Oct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543.77</v>
      </c>
      <c r="O292">
        <f>'B - Monthly Positions'!L32</f>
        <v>543.77</v>
      </c>
      <c r="P292">
        <f>'B - Monthly Positions'!M32</f>
        <v>543.77</v>
      </c>
      <c r="Q292">
        <f>'B - Monthly Positions'!N32</f>
        <v>543.77</v>
      </c>
      <c r="R292">
        <f>'B - Monthly Positions'!O32</f>
        <v>543.16999999999996</v>
      </c>
      <c r="S292">
        <f>'B - Monthly Positions'!Q32</f>
        <v>6525.1210000000001</v>
      </c>
      <c r="U292">
        <f t="shared" si="12"/>
        <v>6525.1210000000001</v>
      </c>
    </row>
    <row r="293" spans="1:21">
      <c r="A293" s="2894" t="str">
        <f>ORG!$S$1</f>
        <v>Oct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Oct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Oct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Oct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20889.22366333333</v>
      </c>
      <c r="O296">
        <f>'B - Monthly Positions'!L36</f>
        <v>20748.598436666667</v>
      </c>
      <c r="P296">
        <f>'B - Monthly Positions'!M36</f>
        <v>20485.784526666666</v>
      </c>
      <c r="Q296">
        <f>'B - Monthly Positions'!N36</f>
        <v>20628.388766666667</v>
      </c>
      <c r="R296">
        <f>'B - Monthly Positions'!O36</f>
        <v>23903.941636666663</v>
      </c>
      <c r="S296">
        <f>'B - Monthly Positions'!Q36</f>
        <v>243442.93703</v>
      </c>
      <c r="U296">
        <f t="shared" si="12"/>
        <v>243442.93703</v>
      </c>
    </row>
    <row r="297" spans="1:21">
      <c r="A297" s="2894" t="str">
        <f>ORG!$S$1</f>
        <v>Oct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3.637978807091713E-12</v>
      </c>
      <c r="O297">
        <f>'B - Monthly Positions'!L37</f>
        <v>0</v>
      </c>
      <c r="P297">
        <f>'B - Monthly Positions'!M37</f>
        <v>0</v>
      </c>
      <c r="Q297">
        <f>'B - Monthly Positions'!N37</f>
        <v>0</v>
      </c>
      <c r="R297">
        <f>'B - Monthly Positions'!O37</f>
        <v>-119.99999999999636</v>
      </c>
      <c r="S297">
        <f>'B - Monthly Positions'!Q37</f>
        <v>2.9103830456733704E-11</v>
      </c>
      <c r="U297">
        <f t="shared" si="12"/>
        <v>2.9103830456733704E-11</v>
      </c>
    </row>
    <row r="298" spans="1:21">
      <c r="A298" s="2894" t="str">
        <f>ORG!$S$1</f>
        <v>Oct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Oct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Oct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Oct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Oct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Oct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Oct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Oct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Oct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219409.94602999999</v>
      </c>
      <c r="U306">
        <f t="shared" si="12"/>
        <v>219409.94602999999</v>
      </c>
    </row>
    <row r="307" spans="1:21">
      <c r="A307" s="2894" t="str">
        <f>ORG!$S$1</f>
        <v>Oct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2732</v>
      </c>
      <c r="U307">
        <f t="shared" si="12"/>
        <v>2732</v>
      </c>
    </row>
    <row r="308" spans="1:21">
      <c r="A308" s="2894" t="str">
        <f>ORG!$S$1</f>
        <v>Oct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14438</v>
      </c>
      <c r="U308">
        <f t="shared" si="12"/>
        <v>14438</v>
      </c>
    </row>
    <row r="309" spans="1:21">
      <c r="A309" s="2894" t="str">
        <f>ORG!$S$1</f>
        <v>Oct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Oct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236579.94602999999</v>
      </c>
      <c r="U310">
        <f t="shared" si="12"/>
        <v>236579.94602999999</v>
      </c>
    </row>
    <row r="311" spans="1:21">
      <c r="A311" s="2894" t="str">
        <f>ORG!$S$1</f>
        <v>Oct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407.3</v>
      </c>
      <c r="O311">
        <f>'B - Monthly Positions'!L72</f>
        <v>407.3</v>
      </c>
      <c r="P311">
        <f>'B - Monthly Positions'!M72</f>
        <v>407.3</v>
      </c>
      <c r="Q311">
        <f>'B - Monthly Positions'!N72</f>
        <v>407.3</v>
      </c>
      <c r="R311">
        <f>'B - Monthly Positions'!O72</f>
        <v>407</v>
      </c>
      <c r="S311">
        <f>'B - Monthly Positions'!Q72</f>
        <v>4887.2910000000002</v>
      </c>
      <c r="U311">
        <f t="shared" si="12"/>
        <v>4887.2910000000002</v>
      </c>
    </row>
    <row r="312" spans="1:21">
      <c r="A312" s="2894" t="str">
        <f>ORG!$S$1</f>
        <v>Oct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12.3</v>
      </c>
      <c r="O312">
        <f>'B - Monthly Positions'!L73</f>
        <v>12.3</v>
      </c>
      <c r="P312">
        <f>'B - Monthly Positions'!M73</f>
        <v>12.3</v>
      </c>
      <c r="Q312">
        <f>'B - Monthly Positions'!N73</f>
        <v>12.3</v>
      </c>
      <c r="R312">
        <f>'B - Monthly Positions'!O73</f>
        <v>12</v>
      </c>
      <c r="S312">
        <f>'B - Monthly Positions'!Q73</f>
        <v>147.80000000000001</v>
      </c>
      <c r="U312">
        <f t="shared" si="12"/>
        <v>147.80000000000001</v>
      </c>
    </row>
    <row r="313" spans="1:21">
      <c r="A313" s="2894" t="str">
        <f>ORG!$S$1</f>
        <v>Oct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Oct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Oct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Oct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543.77</v>
      </c>
      <c r="O316">
        <f>'B - Monthly Positions'!L77</f>
        <v>543.77</v>
      </c>
      <c r="P316">
        <f>'B - Monthly Positions'!M77</f>
        <v>543.77</v>
      </c>
      <c r="Q316">
        <f>'B - Monthly Positions'!N77</f>
        <v>543.77</v>
      </c>
      <c r="R316">
        <f>'B - Monthly Positions'!O77</f>
        <v>543.16999999999996</v>
      </c>
      <c r="S316">
        <f>'B - Monthly Positions'!Q77</f>
        <v>6525.1210000000001</v>
      </c>
      <c r="U316">
        <f t="shared" si="12"/>
        <v>6525.1210000000001</v>
      </c>
    </row>
    <row r="317" spans="1:21">
      <c r="A317" s="2894" t="str">
        <f>ORG!$S$1</f>
        <v>Oct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Oct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Oct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Oct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Oct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Oct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Oct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Oct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Oct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Oct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Oct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Oct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Oct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Oct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Oct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Oct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Oct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Oct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Oct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Oct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Oct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Oct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Oct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Oct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Oct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Oct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Oct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Oct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Oct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Oct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Oct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Oct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Oct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Oct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Oct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Oct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6486.1922366666668</v>
      </c>
      <c r="O352">
        <f>'B2 - Pay &amp; Agency'!K10</f>
        <v>6512.3851966666671</v>
      </c>
      <c r="P352">
        <f>'B2 - Pay &amp; Agency'!L10</f>
        <v>6544.2173633333332</v>
      </c>
      <c r="Q352">
        <f>'B2 - Pay &amp; Agency'!M10</f>
        <v>6566.3744633333336</v>
      </c>
      <c r="R352">
        <f>'B2 - Pay &amp; Agency'!N10</f>
        <v>6845.3744633333336</v>
      </c>
      <c r="S352">
        <f>'B2 - Pay &amp; Agency'!P10</f>
        <v>79309.543723333336</v>
      </c>
      <c r="U352">
        <f t="shared" ref="U352:U382" si="14">S352+T352</f>
        <v>79309.543723333336</v>
      </c>
    </row>
    <row r="353" spans="1:21">
      <c r="A353" s="2894" t="str">
        <f>ORG!$S$1</f>
        <v>Oct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1414</v>
      </c>
      <c r="O353">
        <f>'B2 - Pay &amp; Agency'!K11</f>
        <v>1406</v>
      </c>
      <c r="P353">
        <f>'B2 - Pay &amp; Agency'!L11</f>
        <v>1406</v>
      </c>
      <c r="Q353">
        <f>'B2 - Pay &amp; Agency'!M11</f>
        <v>1406</v>
      </c>
      <c r="R353">
        <f>'B2 - Pay &amp; Agency'!N11</f>
        <v>1441</v>
      </c>
      <c r="S353">
        <f>'B2 - Pay &amp; Agency'!P11</f>
        <v>16515</v>
      </c>
      <c r="U353">
        <f t="shared" si="14"/>
        <v>16515</v>
      </c>
    </row>
    <row r="354" spans="1:21">
      <c r="A354" s="2894" t="str">
        <f>ORG!$S$1</f>
        <v>Oct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542.92166666666662</v>
      </c>
      <c r="O354">
        <f>'B2 - Pay &amp; Agency'!K12</f>
        <v>542.92166666666662</v>
      </c>
      <c r="P354">
        <f>'B2 - Pay &amp; Agency'!L12</f>
        <v>542.92166666666662</v>
      </c>
      <c r="Q354">
        <f>'B2 - Pay &amp; Agency'!M12</f>
        <v>513.92166666666662</v>
      </c>
      <c r="R354">
        <f>'B2 - Pay &amp; Agency'!N12</f>
        <v>513.92166666666662</v>
      </c>
      <c r="S354">
        <f>'B2 - Pay &amp; Agency'!P12</f>
        <v>6321.6083333333354</v>
      </c>
      <c r="U354">
        <f t="shared" si="14"/>
        <v>6321.6083333333354</v>
      </c>
    </row>
    <row r="355" spans="1:21">
      <c r="A355" s="2894" t="str">
        <f>ORG!$S$1</f>
        <v>Oct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Oct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311.62175000000002</v>
      </c>
      <c r="O356">
        <f>'B2 - Pay &amp; Agency'!K14</f>
        <v>311.62175000000002</v>
      </c>
      <c r="P356">
        <f>'B2 - Pay &amp; Agency'!L14</f>
        <v>311.62175000000002</v>
      </c>
      <c r="Q356">
        <f>'B2 - Pay &amp; Agency'!M14</f>
        <v>311.62175000000002</v>
      </c>
      <c r="R356">
        <f>'B2 - Pay &amp; Agency'!N14</f>
        <v>311.62175000000002</v>
      </c>
      <c r="S356">
        <f>'B2 - Pay &amp; Agency'!P14</f>
        <v>3876.1087500000012</v>
      </c>
      <c r="U356">
        <f t="shared" si="14"/>
        <v>3876.1087500000012</v>
      </c>
    </row>
    <row r="357" spans="1:21">
      <c r="A357" s="2894" t="str">
        <f>ORG!$S$1</f>
        <v>Oct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1181</v>
      </c>
      <c r="O357">
        <f>'B2 - Pay &amp; Agency'!K15</f>
        <v>1181</v>
      </c>
      <c r="P357">
        <f>'B2 - Pay &amp; Agency'!L15</f>
        <v>1185</v>
      </c>
      <c r="Q357">
        <f>'B2 - Pay &amp; Agency'!M15</f>
        <v>1182</v>
      </c>
      <c r="R357">
        <f>'B2 - Pay &amp; Agency'!N15</f>
        <v>1182</v>
      </c>
      <c r="S357">
        <f>'B2 - Pay &amp; Agency'!P15</f>
        <v>13309</v>
      </c>
      <c r="U357">
        <f t="shared" si="14"/>
        <v>13309</v>
      </c>
    </row>
    <row r="358" spans="1:21">
      <c r="A358" s="2894" t="str">
        <f>ORG!$S$1</f>
        <v>Oct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1641.0209199999999</v>
      </c>
      <c r="O358">
        <f>'B2 - Pay &amp; Agency'!K16</f>
        <v>1635.6025033333333</v>
      </c>
      <c r="P358">
        <f>'B2 - Pay &amp; Agency'!L16</f>
        <v>1635.6025033333333</v>
      </c>
      <c r="Q358">
        <f>'B2 - Pay &amp; Agency'!M16</f>
        <v>1635.6025033333333</v>
      </c>
      <c r="R358">
        <f>'B2 - Pay &amp; Agency'!N16</f>
        <v>1652.6025033333333</v>
      </c>
      <c r="S358">
        <f>'B2 - Pay &amp; Agency'!P16</f>
        <v>20226.430933333329</v>
      </c>
      <c r="U358">
        <f t="shared" si="14"/>
        <v>20226.430933333329</v>
      </c>
    </row>
    <row r="359" spans="1:21">
      <c r="A359" s="2894" t="str">
        <f>ORG!$S$1</f>
        <v>Oct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2</v>
      </c>
      <c r="O359">
        <f>'B2 - Pay &amp; Agency'!K17</f>
        <v>2</v>
      </c>
      <c r="P359">
        <f>'B2 - Pay &amp; Agency'!L17</f>
        <v>2</v>
      </c>
      <c r="Q359">
        <f>'B2 - Pay &amp; Agency'!M17</f>
        <v>2</v>
      </c>
      <c r="R359">
        <f>'B2 - Pay &amp; Agency'!N17</f>
        <v>2</v>
      </c>
      <c r="S359">
        <f>'B2 - Pay &amp; Agency'!P17</f>
        <v>27</v>
      </c>
      <c r="U359">
        <f t="shared" si="14"/>
        <v>27</v>
      </c>
    </row>
    <row r="360" spans="1:21">
      <c r="A360" s="2894" t="str">
        <f>ORG!$S$1</f>
        <v>Oct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Oct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11578.756573333332</v>
      </c>
      <c r="O361">
        <f>'B2 - Pay &amp; Agency'!K19</f>
        <v>11591.531116666667</v>
      </c>
      <c r="P361">
        <f>'B2 - Pay &amp; Agency'!L19</f>
        <v>11627.363283333334</v>
      </c>
      <c r="Q361">
        <f>'B2 - Pay &amp; Agency'!M19</f>
        <v>11617.520383333334</v>
      </c>
      <c r="R361">
        <f>'B2 - Pay &amp; Agency'!N19</f>
        <v>11948.520383333334</v>
      </c>
      <c r="S361">
        <f>'B2 - Pay &amp; Agency'!P19</f>
        <v>139584.69174000001</v>
      </c>
      <c r="U361">
        <f t="shared" si="14"/>
        <v>139584.69174000001</v>
      </c>
    </row>
    <row r="362" spans="1:21">
      <c r="A362" s="2894" t="str">
        <f>ORG!$S$1</f>
        <v>Oct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11578.756573333334</v>
      </c>
      <c r="O362">
        <f>'B2 - Pay &amp; Agency'!K24</f>
        <v>11591.531116666667</v>
      </c>
      <c r="P362">
        <f>'B2 - Pay &amp; Agency'!L24</f>
        <v>11627.363283333334</v>
      </c>
      <c r="Q362">
        <f>'B2 - Pay &amp; Agency'!M24</f>
        <v>11617.520383333334</v>
      </c>
      <c r="R362">
        <f>'B2 - Pay &amp; Agency'!N24</f>
        <v>11948.520383333334</v>
      </c>
      <c r="S362">
        <f>'B2 - Pay &amp; Agency'!P24</f>
        <v>139584.69174000001</v>
      </c>
      <c r="U362">
        <f t="shared" si="14"/>
        <v>139584.69174000001</v>
      </c>
    </row>
    <row r="363" spans="1:21">
      <c r="A363" s="2894" t="str">
        <f>ORG!$S$1</f>
        <v>Oct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Oct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11578.756573333334</v>
      </c>
      <c r="O364">
        <f>'B2 - Pay &amp; Agency'!K26</f>
        <v>11591.531116666667</v>
      </c>
      <c r="P364">
        <f>'B2 - Pay &amp; Agency'!L26</f>
        <v>11627.363283333334</v>
      </c>
      <c r="Q364">
        <f>'B2 - Pay &amp; Agency'!M26</f>
        <v>11617.520383333334</v>
      </c>
      <c r="R364">
        <f>'B2 - Pay &amp; Agency'!N26</f>
        <v>11948.520383333334</v>
      </c>
      <c r="S364">
        <f>'B2 - Pay &amp; Agency'!P26</f>
        <v>139584.69174000001</v>
      </c>
      <c r="U364">
        <f t="shared" si="14"/>
        <v>139584.69174000001</v>
      </c>
    </row>
    <row r="365" spans="1:21">
      <c r="A365" s="2894" t="str">
        <f>ORG!$S$1</f>
        <v>Oct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142.71428571428572</v>
      </c>
      <c r="O365">
        <f>'B2 - Pay &amp; Agency'!K33</f>
        <v>142.71428571428572</v>
      </c>
      <c r="P365">
        <f>'B2 - Pay &amp; Agency'!L33</f>
        <v>142.71428571428572</v>
      </c>
      <c r="Q365">
        <f>'B2 - Pay &amp; Agency'!M33</f>
        <v>142.71428571428572</v>
      </c>
      <c r="R365">
        <f>'B2 - Pay &amp; Agency'!N33</f>
        <v>142.71428571428572</v>
      </c>
      <c r="S365">
        <f>'B2 - Pay &amp; Agency'!P33</f>
        <v>1712.5714285714289</v>
      </c>
      <c r="U365">
        <f t="shared" si="14"/>
        <v>1712.5714285714289</v>
      </c>
    </row>
    <row r="366" spans="1:21">
      <c r="A366" s="2894" t="str">
        <f>ORG!$S$1</f>
        <v>Oct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18.714285714285715</v>
      </c>
      <c r="O366">
        <f>'B2 - Pay &amp; Agency'!K34</f>
        <v>18.714285714285715</v>
      </c>
      <c r="P366">
        <f>'B2 - Pay &amp; Agency'!L34</f>
        <v>18.714285714285715</v>
      </c>
      <c r="Q366">
        <f>'B2 - Pay &amp; Agency'!M34</f>
        <v>18.714285714285715</v>
      </c>
      <c r="R366">
        <f>'B2 - Pay &amp; Agency'!N34</f>
        <v>18.714285714285715</v>
      </c>
      <c r="S366">
        <f>'B2 - Pay &amp; Agency'!P34</f>
        <v>224.57142857142861</v>
      </c>
      <c r="U366">
        <f t="shared" si="14"/>
        <v>224.57142857142861</v>
      </c>
    </row>
    <row r="367" spans="1:21">
      <c r="A367" s="2894" t="str">
        <f>ORG!$S$1</f>
        <v>Oct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0.42857142857142855</v>
      </c>
      <c r="O367">
        <f>'B2 - Pay &amp; Agency'!K35</f>
        <v>0.42857142857142855</v>
      </c>
      <c r="P367">
        <f>'B2 - Pay &amp; Agency'!L35</f>
        <v>0.42857142857142855</v>
      </c>
      <c r="Q367">
        <f>'B2 - Pay &amp; Agency'!M35</f>
        <v>0.42857142857142855</v>
      </c>
      <c r="R367">
        <f>'B2 - Pay &amp; Agency'!N35</f>
        <v>0.42857142857142855</v>
      </c>
      <c r="S367">
        <f>'B2 - Pay &amp; Agency'!P35</f>
        <v>5.1428571428571432</v>
      </c>
      <c r="U367">
        <f t="shared" si="14"/>
        <v>5.1428571428571432</v>
      </c>
    </row>
    <row r="368" spans="1:21">
      <c r="A368" s="2894" t="str">
        <f>ORG!$S$1</f>
        <v>Oct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Oct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20.857142857142858</v>
      </c>
      <c r="O369">
        <f>'B2 - Pay &amp; Agency'!K37</f>
        <v>20.857142857142858</v>
      </c>
      <c r="P369">
        <f>'B2 - Pay &amp; Agency'!L37</f>
        <v>20.857142857142858</v>
      </c>
      <c r="Q369">
        <f>'B2 - Pay &amp; Agency'!M37</f>
        <v>20.857142857142858</v>
      </c>
      <c r="R369">
        <f>'B2 - Pay &amp; Agency'!N37</f>
        <v>20.857142857142858</v>
      </c>
      <c r="S369">
        <f>'B2 - Pay &amp; Agency'!P37</f>
        <v>250.28571428571431</v>
      </c>
      <c r="U369">
        <f t="shared" si="14"/>
        <v>250.28571428571431</v>
      </c>
    </row>
    <row r="370" spans="1:21">
      <c r="A370" s="2894" t="str">
        <f>ORG!$S$1</f>
        <v>Oct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-2.3333333333333335</v>
      </c>
      <c r="O370">
        <f>'B2 - Pay &amp; Agency'!K38</f>
        <v>-2.3333333333333335</v>
      </c>
      <c r="P370">
        <f>'B2 - Pay &amp; Agency'!L38</f>
        <v>-2.3333333333333335</v>
      </c>
      <c r="Q370">
        <f>'B2 - Pay &amp; Agency'!M38</f>
        <v>-2.3333333333333335</v>
      </c>
      <c r="R370">
        <f>'B2 - Pay &amp; Agency'!N38</f>
        <v>-2.3333333333333335</v>
      </c>
      <c r="S370">
        <f>'B2 - Pay &amp; Agency'!P38</f>
        <v>-25.666666666666661</v>
      </c>
      <c r="U370">
        <f t="shared" si="14"/>
        <v>-25.666666666666661</v>
      </c>
    </row>
    <row r="371" spans="1:21">
      <c r="A371" s="2894" t="str">
        <f>ORG!$S$1</f>
        <v>Oct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72.714285714285708</v>
      </c>
      <c r="O371">
        <f>'B2 - Pay &amp; Agency'!K39</f>
        <v>72.714285714285708</v>
      </c>
      <c r="P371">
        <f>'B2 - Pay &amp; Agency'!L39</f>
        <v>72.714285714285708</v>
      </c>
      <c r="Q371">
        <f>'B2 - Pay &amp; Agency'!M39</f>
        <v>72.714285714285708</v>
      </c>
      <c r="R371">
        <f>'B2 - Pay &amp; Agency'!N39</f>
        <v>72.714285714285708</v>
      </c>
      <c r="S371">
        <f>'B2 - Pay &amp; Agency'!P39</f>
        <v>872.57142857142833</v>
      </c>
      <c r="U371">
        <f t="shared" si="14"/>
        <v>872.57142857142833</v>
      </c>
    </row>
    <row r="372" spans="1:21">
      <c r="A372" s="2894" t="str">
        <f>ORG!$S$1</f>
        <v>Oct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1</v>
      </c>
      <c r="O372">
        <f>'B2 - Pay &amp; Agency'!K40</f>
        <v>1</v>
      </c>
      <c r="P372">
        <f>'B2 - Pay &amp; Agency'!L40</f>
        <v>1</v>
      </c>
      <c r="Q372">
        <f>'B2 - Pay &amp; Agency'!M40</f>
        <v>1</v>
      </c>
      <c r="R372">
        <f>'B2 - Pay &amp; Agency'!N40</f>
        <v>1</v>
      </c>
      <c r="S372">
        <f>'B2 - Pay &amp; Agency'!P40</f>
        <v>12</v>
      </c>
      <c r="U372">
        <f t="shared" si="14"/>
        <v>12</v>
      </c>
    </row>
    <row r="373" spans="1:21">
      <c r="A373" s="2894" t="str">
        <f>ORG!$S$1</f>
        <v>Oct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Oct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254.09523809523807</v>
      </c>
      <c r="O374">
        <f>'B2 - Pay &amp; Agency'!K42</f>
        <v>254.09523809523807</v>
      </c>
      <c r="P374">
        <f>'B2 - Pay &amp; Agency'!L42</f>
        <v>254.09523809523807</v>
      </c>
      <c r="Q374">
        <f>'B2 - Pay &amp; Agency'!M42</f>
        <v>254.09523809523807</v>
      </c>
      <c r="R374">
        <f>'B2 - Pay &amp; Agency'!N42</f>
        <v>254.09523809523807</v>
      </c>
      <c r="S374">
        <f>'B2 - Pay &amp; Agency'!P42</f>
        <v>3051.4761904761908</v>
      </c>
      <c r="U374">
        <f t="shared" si="14"/>
        <v>3051.4761904761908</v>
      </c>
    </row>
    <row r="375" spans="1:21">
      <c r="A375" s="2894" t="str">
        <f>ORG!$S$1</f>
        <v>Oct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2.1944950348160595E-2</v>
      </c>
      <c r="O375">
        <f>IFERROR('B2 - Pay &amp; Agency'!K44,0)</f>
        <v>2.1920765733000704E-2</v>
      </c>
      <c r="P375">
        <f>IFERROR('B2 - Pay &amp; Agency'!L44,0)</f>
        <v>2.1853212280677447E-2</v>
      </c>
      <c r="Q375">
        <f>IFERROR('B2 - Pay &amp; Agency'!M44,0)</f>
        <v>2.1871727331743428E-2</v>
      </c>
      <c r="R375">
        <f>IFERROR('B2 - Pay &amp; Agency'!N44,0)</f>
        <v>2.1265832918498311E-2</v>
      </c>
      <c r="S375">
        <f>IFERROR('B2 - Pay &amp; Agency'!O44,0)</f>
        <v>2.1927826547321505E-2</v>
      </c>
      <c r="U375">
        <f t="shared" si="14"/>
        <v>2.1927826547321505E-2</v>
      </c>
    </row>
    <row r="376" spans="1:21">
      <c r="A376" s="2894" t="str">
        <f>ORG!$S$1</f>
        <v>Oct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247.85714285714286</v>
      </c>
      <c r="O376">
        <f>'B2 - Pay &amp; Agency'!K52</f>
        <v>247.85714285714286</v>
      </c>
      <c r="P376">
        <f>'B2 - Pay &amp; Agency'!L52</f>
        <v>247.85714285714286</v>
      </c>
      <c r="Q376">
        <f>'B2 - Pay &amp; Agency'!M52</f>
        <v>247.85714285714286</v>
      </c>
      <c r="R376">
        <f>'B2 - Pay &amp; Agency'!N52</f>
        <v>247.85714285714286</v>
      </c>
      <c r="S376">
        <f>'B2 - Pay &amp; Agency'!P52</f>
        <v>2974.2857142857138</v>
      </c>
      <c r="U376">
        <f t="shared" si="14"/>
        <v>2974.2857142857138</v>
      </c>
    </row>
    <row r="377" spans="1:21">
      <c r="A377" s="2894" t="str">
        <f>ORG!$S$1</f>
        <v>Oct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6.5714285714285712</v>
      </c>
      <c r="O377">
        <f>'B2 - Pay &amp; Agency'!K53</f>
        <v>6.5714285714285712</v>
      </c>
      <c r="P377">
        <f>'B2 - Pay &amp; Agency'!L53</f>
        <v>6.5714285714285712</v>
      </c>
      <c r="Q377">
        <f>'B2 - Pay &amp; Agency'!M53</f>
        <v>6.5714285714285712</v>
      </c>
      <c r="R377">
        <f>'B2 - Pay &amp; Agency'!N53</f>
        <v>6.5714285714285712</v>
      </c>
      <c r="S377">
        <f>'B2 - Pay &amp; Agency'!P53</f>
        <v>78.857142857142847</v>
      </c>
      <c r="U377">
        <f t="shared" si="14"/>
        <v>78.857142857142847</v>
      </c>
    </row>
    <row r="378" spans="1:21">
      <c r="A378" s="2894" t="str">
        <f>ORG!$S$1</f>
        <v>Oct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Oct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Oct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Oct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Oct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Oct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Oct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Oct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Oct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Oct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Oct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Oct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254.42857142857144</v>
      </c>
      <c r="O389">
        <f>'B2 - Pay &amp; Agency'!K65</f>
        <v>254.42857142857144</v>
      </c>
      <c r="P389">
        <f>'B2 - Pay &amp; Agency'!L65</f>
        <v>254.42857142857144</v>
      </c>
      <c r="Q389">
        <f>'B2 - Pay &amp; Agency'!M65</f>
        <v>254.42857142857144</v>
      </c>
      <c r="R389">
        <f>'B2 - Pay &amp; Agency'!N65</f>
        <v>254.42857142857144</v>
      </c>
      <c r="S389">
        <f>'B2 - Pay &amp; Agency'!P65</f>
        <v>3053.1428571428564</v>
      </c>
      <c r="U389">
        <f t="shared" si="15"/>
        <v>3053.1428571428564</v>
      </c>
    </row>
    <row r="390" spans="1:21">
      <c r="A390" s="2894" t="str">
        <f>ORG!$S$1</f>
        <v>Oct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Oct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Oct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29.555903333333337</v>
      </c>
      <c r="O392">
        <f>'B3 - COVID-19'!K10</f>
        <v>25.748863333333336</v>
      </c>
      <c r="P392">
        <f>'B3 - COVID-19'!L10</f>
        <v>28.636113333333334</v>
      </c>
      <c r="Q392">
        <f>'B3 - COVID-19'!M10</f>
        <v>25.793213333333334</v>
      </c>
      <c r="R392">
        <f>'B3 - COVID-19'!N10</f>
        <v>22.793213333333334</v>
      </c>
      <c r="S392">
        <f>'B3 - COVID-19'!P10</f>
        <v>344.30650666666668</v>
      </c>
      <c r="U392">
        <f t="shared" si="17"/>
        <v>344.30650666666668</v>
      </c>
    </row>
    <row r="393" spans="1:21">
      <c r="A393" s="2894" t="str">
        <f>ORG!$S$1</f>
        <v>Oct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Oct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Oct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Oct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2.62175</v>
      </c>
      <c r="O396">
        <f>'B3 - COVID-19'!K14</f>
        <v>2.62175</v>
      </c>
      <c r="P396">
        <f>'B3 - COVID-19'!L14</f>
        <v>2.62175</v>
      </c>
      <c r="Q396">
        <f>'B3 - COVID-19'!M14</f>
        <v>2.62175</v>
      </c>
      <c r="R396">
        <f>'B3 - COVID-19'!N14</f>
        <v>2.62175</v>
      </c>
      <c r="S396">
        <f>'B3 - COVID-19'!P14</f>
        <v>34.072449999999996</v>
      </c>
      <c r="U396">
        <f t="shared" si="17"/>
        <v>34.072449999999996</v>
      </c>
    </row>
    <row r="397" spans="1:21">
      <c r="A397" s="2894" t="str">
        <f>ORG!$S$1</f>
        <v>Oct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Oct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29.772086666666663</v>
      </c>
      <c r="O398">
        <f>'B3 - COVID-19'!K16</f>
        <v>29.772086666666663</v>
      </c>
      <c r="P398">
        <f>'B3 - COVID-19'!L16</f>
        <v>29.772086666666663</v>
      </c>
      <c r="Q398">
        <f>'B3 - COVID-19'!M16</f>
        <v>29.772086666666663</v>
      </c>
      <c r="R398">
        <f>'B3 - COVID-19'!N16</f>
        <v>29.772086666666663</v>
      </c>
      <c r="S398">
        <f>'B3 - COVID-19'!P16</f>
        <v>360.31276333333329</v>
      </c>
      <c r="U398">
        <f t="shared" si="17"/>
        <v>360.31276333333329</v>
      </c>
    </row>
    <row r="399" spans="1:21">
      <c r="A399" s="2894" t="str">
        <f>ORG!$S$1</f>
        <v>Oct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Oct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Oct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61.949740000000006</v>
      </c>
      <c r="O401">
        <f>'B3 - COVID-19'!K19</f>
        <v>58.142699999999998</v>
      </c>
      <c r="P401">
        <f>'B3 - COVID-19'!L19</f>
        <v>61.029949999999999</v>
      </c>
      <c r="Q401">
        <f>'B3 - COVID-19'!M19</f>
        <v>58.187049999999999</v>
      </c>
      <c r="R401">
        <f>'B3 - COVID-19'!N19</f>
        <v>55.187049999999999</v>
      </c>
      <c r="S401">
        <f>'B3 - COVID-19'!P19</f>
        <v>738.69172000000003</v>
      </c>
      <c r="U401">
        <f t="shared" si="17"/>
        <v>738.69172000000003</v>
      </c>
    </row>
    <row r="402" spans="1:21">
      <c r="A402" s="2894" t="str">
        <f>ORG!$S$1</f>
        <v>Oct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Oct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Oct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Oct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895.26024000000007</v>
      </c>
      <c r="O405">
        <f>'B3 - COVID-19'!K23</f>
        <v>933.86047000000008</v>
      </c>
      <c r="P405">
        <f>'B3 - COVID-19'!L23</f>
        <v>988.61047000000008</v>
      </c>
      <c r="Q405">
        <f>'B3 - COVID-19'!M23</f>
        <v>918.05760999999995</v>
      </c>
      <c r="R405">
        <f>'B3 - COVID-19'!N23</f>
        <v>947.61048000000005</v>
      </c>
      <c r="S405">
        <f>'B3 - COVID-19'!P23</f>
        <v>10289.730109999999</v>
      </c>
      <c r="U405">
        <f t="shared" si="17"/>
        <v>10289.730109999999</v>
      </c>
    </row>
    <row r="406" spans="1:21">
      <c r="A406" s="2894" t="str">
        <f>ORG!$S$1</f>
        <v>Oct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40.012999999999998</v>
      </c>
      <c r="O406">
        <f>'B3 - COVID-19'!K24</f>
        <v>40.012999999999998</v>
      </c>
      <c r="P406">
        <f>'B3 - COVID-19'!L24</f>
        <v>40.012999999999998</v>
      </c>
      <c r="Q406">
        <f>'B3 - COVID-19'!M24</f>
        <v>40.012999999999998</v>
      </c>
      <c r="R406">
        <f>'B3 - COVID-19'!N24</f>
        <v>40.012999999999998</v>
      </c>
      <c r="S406">
        <f>'B3 - COVID-19'!P24</f>
        <v>227.94000000000003</v>
      </c>
      <c r="U406">
        <f t="shared" si="17"/>
        <v>227.94000000000003</v>
      </c>
    </row>
    <row r="407" spans="1:21">
      <c r="A407" s="2894" t="str">
        <f>ORG!$S$1</f>
        <v>Oct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0</v>
      </c>
      <c r="O407">
        <f>'B3 - COVID-19'!K25</f>
        <v>0</v>
      </c>
      <c r="P407">
        <f>'B3 - COVID-19'!L25</f>
        <v>0</v>
      </c>
      <c r="Q407">
        <f>'B3 - COVID-19'!M25</f>
        <v>0</v>
      </c>
      <c r="R407">
        <f>'B3 - COVID-19'!N25</f>
        <v>50</v>
      </c>
      <c r="S407">
        <f>'B3 - COVID-19'!P25</f>
        <v>97.096000000000004</v>
      </c>
      <c r="U407">
        <f t="shared" si="17"/>
        <v>97.096000000000004</v>
      </c>
    </row>
    <row r="408" spans="1:21">
      <c r="A408" s="2894" t="str">
        <f>ORG!$S$1</f>
        <v>Oct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Oct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Oct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Oct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Oct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Oct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Oct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Oct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935.2732400000001</v>
      </c>
      <c r="O415">
        <f>'B3 - COVID-19'!K33</f>
        <v>973.87347000000011</v>
      </c>
      <c r="P415">
        <f>'B3 - COVID-19'!L33</f>
        <v>1028.62347</v>
      </c>
      <c r="Q415">
        <f>'B3 - COVID-19'!M33</f>
        <v>958.07060999999999</v>
      </c>
      <c r="R415">
        <f>'B3 - COVID-19'!N33</f>
        <v>1037.6234800000002</v>
      </c>
      <c r="S415">
        <f>'B3 - COVID-19'!P33</f>
        <v>10614.766109999999</v>
      </c>
      <c r="U415">
        <f t="shared" si="17"/>
        <v>10614.766109999999</v>
      </c>
    </row>
    <row r="416" spans="1:21">
      <c r="A416" s="2894" t="str">
        <f>ORG!$S$1</f>
        <v>Oct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997.22298000000012</v>
      </c>
      <c r="O416">
        <f>'B3 - COVID-19'!K34</f>
        <v>1032.0161700000001</v>
      </c>
      <c r="P416">
        <f>'B3 - COVID-19'!L34</f>
        <v>1089.6534200000001</v>
      </c>
      <c r="Q416">
        <f>'B3 - COVID-19'!M34</f>
        <v>1016.25766</v>
      </c>
      <c r="R416">
        <f>'B3 - COVID-19'!N34</f>
        <v>1092.8105300000002</v>
      </c>
      <c r="S416">
        <f>'B3 - COVID-19'!P34</f>
        <v>11353.457829999999</v>
      </c>
      <c r="U416">
        <f t="shared" si="17"/>
        <v>11353.457829999999</v>
      </c>
    </row>
    <row r="417" spans="1:21">
      <c r="A417" s="2894" t="str">
        <f>ORG!$S$1</f>
        <v>Oct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Oct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279.71821099311717</v>
      </c>
      <c r="O418">
        <f>'B3 - COVID-19'!K37</f>
        <v>769.26198380399887</v>
      </c>
      <c r="P418">
        <f>'B3 - COVID-19'!L37</f>
        <v>220.06734213733239</v>
      </c>
      <c r="Q418">
        <f>'B3 - COVID-19'!M37</f>
        <v>189.58700484890232</v>
      </c>
      <c r="R418">
        <f>'B3 - COVID-19'!N37</f>
        <v>631.87535602622097</v>
      </c>
      <c r="S418">
        <f>'B3 - COVID-19'!P37</f>
        <v>4086.5421676426704</v>
      </c>
      <c r="U418">
        <f t="shared" si="17"/>
        <v>4086.5421676426704</v>
      </c>
    </row>
    <row r="419" spans="1:21">
      <c r="A419" s="2894" t="str">
        <f>ORG!$S$1</f>
        <v>Oct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Oct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997.22298000000012</v>
      </c>
      <c r="O420">
        <f>'B3 - COVID-19'!K42</f>
        <v>1032.0161700000001</v>
      </c>
      <c r="P420">
        <f>'B3 - COVID-19'!L42</f>
        <v>1089.6534200000001</v>
      </c>
      <c r="Q420">
        <f>'B3 - COVID-19'!M42</f>
        <v>1016.25766</v>
      </c>
      <c r="R420">
        <f>'B3 - COVID-19'!N42</f>
        <v>1092.8105300000002</v>
      </c>
      <c r="S420">
        <f>'B3 - COVID-19'!P42</f>
        <v>11353.457830000001</v>
      </c>
      <c r="U420">
        <f t="shared" si="18"/>
        <v>11353.457830000001</v>
      </c>
    </row>
    <row r="421" spans="1:21">
      <c r="A421" s="2894" t="str">
        <f>ORG!$S$1</f>
        <v>Oct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Oct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997.22298000000012</v>
      </c>
      <c r="O422">
        <f>'B3 - COVID-19'!K44</f>
        <v>1032.0161700000001</v>
      </c>
      <c r="P422">
        <f>'B3 - COVID-19'!L44</f>
        <v>1089.6534200000001</v>
      </c>
      <c r="Q422">
        <f>'B3 - COVID-19'!M44</f>
        <v>1016.25766</v>
      </c>
      <c r="R422">
        <f>'B3 - COVID-19'!N44</f>
        <v>1092.8105300000002</v>
      </c>
      <c r="S422">
        <f>'B3 - COVID-19'!P44</f>
        <v>11353.457830000001</v>
      </c>
      <c r="U422">
        <f t="shared" si="18"/>
        <v>11353.457830000001</v>
      </c>
    </row>
    <row r="423" spans="1:21">
      <c r="A423" s="2894" t="str">
        <f>ORG!$S$1</f>
        <v>Oct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-279.71821099311717</v>
      </c>
      <c r="O423">
        <f>'B3 - COVID-19'!K45</f>
        <v>-769.26198380399887</v>
      </c>
      <c r="P423">
        <f>'B3 - COVID-19'!L45</f>
        <v>-220.06734213733239</v>
      </c>
      <c r="Q423">
        <f>'B3 - COVID-19'!M45</f>
        <v>-189.58700484890232</v>
      </c>
      <c r="R423">
        <f>'B3 - COVID-19'!N45</f>
        <v>-631.87535602622097</v>
      </c>
      <c r="S423">
        <f>'B3 - COVID-19'!P45</f>
        <v>-4086.5419376426671</v>
      </c>
      <c r="U423">
        <f t="shared" si="18"/>
        <v>-4086.5419376426671</v>
      </c>
    </row>
    <row r="424" spans="1:21">
      <c r="A424" s="2894" t="str">
        <f>ORG!$S$1</f>
        <v>Oct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Oct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Oct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30.636333333333337</v>
      </c>
      <c r="O426">
        <f>'B3 - COVID-19'!K53</f>
        <v>30.636333333333337</v>
      </c>
      <c r="P426">
        <f>'B3 - COVID-19'!L53</f>
        <v>34.581249999999997</v>
      </c>
      <c r="Q426">
        <f>'B3 - COVID-19'!M53</f>
        <v>34.581249999999997</v>
      </c>
      <c r="R426">
        <f>'B3 - COVID-19'!N53</f>
        <v>34.581249999999997</v>
      </c>
      <c r="S426">
        <f>'B3 - COVID-19'!P53</f>
        <v>445.20382666666666</v>
      </c>
      <c r="U426">
        <f t="shared" si="17"/>
        <v>445.20382666666666</v>
      </c>
    </row>
    <row r="427" spans="1:21">
      <c r="A427" s="2894" t="str">
        <f>ORG!$S$1</f>
        <v>Oct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Oct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16.921666666666667</v>
      </c>
      <c r="O428">
        <f>'B3 - COVID-19'!K55</f>
        <v>16.921666666666667</v>
      </c>
      <c r="P428">
        <f>'B3 - COVID-19'!L55</f>
        <v>16.921666666666667</v>
      </c>
      <c r="Q428">
        <f>'B3 - COVID-19'!M55</f>
        <v>16.921666666666667</v>
      </c>
      <c r="R428">
        <f>'B3 - COVID-19'!N55</f>
        <v>16.921666666666667</v>
      </c>
      <c r="S428">
        <f>'B3 - COVID-19'!P55</f>
        <v>127.17130333333334</v>
      </c>
      <c r="U428">
        <f t="shared" si="19"/>
        <v>127.17130333333334</v>
      </c>
    </row>
    <row r="429" spans="1:21">
      <c r="A429" s="2894" t="str">
        <f>ORG!$S$1</f>
        <v>Oct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Oct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Oct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Oct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23.248833333333337</v>
      </c>
      <c r="O432">
        <f>'B3 - COVID-19'!K59</f>
        <v>17.830416666666668</v>
      </c>
      <c r="P432">
        <f>'B3 - COVID-19'!L59</f>
        <v>17.830416666666668</v>
      </c>
      <c r="Q432">
        <f>'B3 - COVID-19'!M59</f>
        <v>17.830416666666668</v>
      </c>
      <c r="R432">
        <f>'B3 - COVID-19'!N59</f>
        <v>17.830416666666668</v>
      </c>
      <c r="S432">
        <f>'B3 - COVID-19'!P59</f>
        <v>212.87626000000006</v>
      </c>
      <c r="U432">
        <f t="shared" si="19"/>
        <v>212.87626000000006</v>
      </c>
    </row>
    <row r="433" spans="1:21">
      <c r="A433" s="2894" t="str">
        <f>ORG!$S$1</f>
        <v>Oct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Oct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Oct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70.806833333333344</v>
      </c>
      <c r="O435">
        <f>'B3 - COVID-19'!K62</f>
        <v>65.388416666666672</v>
      </c>
      <c r="P435">
        <f>'B3 - COVID-19'!L62</f>
        <v>69.333333333333329</v>
      </c>
      <c r="Q435">
        <f>'B3 - COVID-19'!M62</f>
        <v>69.333333333333329</v>
      </c>
      <c r="R435">
        <f>'B3 - COVID-19'!N62</f>
        <v>69.333333333333329</v>
      </c>
      <c r="S435">
        <f>'B3 - COVID-19'!P62</f>
        <v>785.25139000000013</v>
      </c>
      <c r="U435">
        <f t="shared" si="19"/>
        <v>785.25139000000013</v>
      </c>
    </row>
    <row r="436" spans="1:21">
      <c r="A436" s="2894" t="str">
        <f>ORG!$S$1</f>
        <v>Oct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Oct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Oct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Oct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56.193850000000005</v>
      </c>
      <c r="O439">
        <f>'B3 - COVID-19'!K66</f>
        <v>56.193850000000005</v>
      </c>
      <c r="P439">
        <f>'B3 - COVID-19'!L66</f>
        <v>71.797773333333339</v>
      </c>
      <c r="Q439">
        <f>'B3 - COVID-19'!M66</f>
        <v>71.797773333333339</v>
      </c>
      <c r="R439">
        <f>'B3 - COVID-19'!N66</f>
        <v>71.797773333333339</v>
      </c>
      <c r="S439">
        <f>'B3 - COVID-19'!P66</f>
        <v>600</v>
      </c>
      <c r="U439">
        <f t="shared" si="19"/>
        <v>600</v>
      </c>
    </row>
    <row r="440" spans="1:21">
      <c r="A440" s="2894" t="str">
        <f>ORG!$S$1</f>
        <v>Oct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Oct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Oct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Oct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Oct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Oct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Oct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Oct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Oct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Oct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56.193850000000005</v>
      </c>
      <c r="O449">
        <f>'B3 - COVID-19'!K76</f>
        <v>56.193850000000005</v>
      </c>
      <c r="P449">
        <f>'B3 - COVID-19'!L76</f>
        <v>71.797773333333339</v>
      </c>
      <c r="Q449">
        <f>'B3 - COVID-19'!M76</f>
        <v>71.797773333333339</v>
      </c>
      <c r="R449">
        <f>'B3 - COVID-19'!N76</f>
        <v>71.797773333333339</v>
      </c>
      <c r="S449">
        <f>'B3 - COVID-19'!P76</f>
        <v>600</v>
      </c>
      <c r="U449">
        <f t="shared" si="19"/>
        <v>600</v>
      </c>
    </row>
    <row r="450" spans="1:21">
      <c r="A450" s="2894" t="str">
        <f>ORG!$S$1</f>
        <v>Oct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127.00068333333334</v>
      </c>
      <c r="O450">
        <f>'B3 - COVID-19'!K77</f>
        <v>121.58226666666667</v>
      </c>
      <c r="P450">
        <f>'B3 - COVID-19'!L77</f>
        <v>141.13110666666665</v>
      </c>
      <c r="Q450">
        <f>'B3 - COVID-19'!M77</f>
        <v>141.13110666666665</v>
      </c>
      <c r="R450">
        <f>'B3 - COVID-19'!N77</f>
        <v>141.13110666666665</v>
      </c>
      <c r="S450">
        <f>'B3 - COVID-19'!P77</f>
        <v>1385.2513900000001</v>
      </c>
      <c r="U450">
        <f t="shared" si="19"/>
        <v>1385.2513900000001</v>
      </c>
    </row>
    <row r="451" spans="1:21">
      <c r="A451" s="2894" t="str">
        <f>ORG!$S$1</f>
        <v>Oct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Oct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-19.973498484848506</v>
      </c>
      <c r="O452">
        <f>'B3 - COVID-19'!K80</f>
        <v>-14.555081818181833</v>
      </c>
      <c r="P452">
        <f>'B3 - COVID-19'!L80</f>
        <v>-34.103921818181817</v>
      </c>
      <c r="Q452">
        <f>'B3 - COVID-19'!M80</f>
        <v>17.747183181818201</v>
      </c>
      <c r="R452">
        <f>'B3 - COVID-19'!N80</f>
        <v>17.747183181818201</v>
      </c>
      <c r="S452">
        <f>'B3 - COVID-19'!P80</f>
        <v>104.7486133333332</v>
      </c>
      <c r="U452">
        <f t="shared" si="19"/>
        <v>104.7486133333332</v>
      </c>
    </row>
    <row r="453" spans="1:21">
      <c r="A453" s="2894" t="str">
        <f>ORG!$S$1</f>
        <v>Oct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Oct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127.00068333333334</v>
      </c>
      <c r="O454">
        <f>'B3 - COVID-19'!K85</f>
        <v>121.58226666666667</v>
      </c>
      <c r="P454">
        <f>'B3 - COVID-19'!L85</f>
        <v>141.13110666666665</v>
      </c>
      <c r="Q454">
        <f>'B3 - COVID-19'!M85</f>
        <v>141.13110666666665</v>
      </c>
      <c r="R454">
        <f>'B3 - COVID-19'!N85</f>
        <v>141.13110666666665</v>
      </c>
      <c r="S454">
        <f>'B3 - COVID-19'!P85</f>
        <v>1385.25143</v>
      </c>
      <c r="U454">
        <f t="shared" si="20"/>
        <v>1385.25143</v>
      </c>
    </row>
    <row r="455" spans="1:21">
      <c r="A455" s="2894" t="str">
        <f>ORG!$S$1</f>
        <v>Oct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Oct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127.00068333333334</v>
      </c>
      <c r="O456">
        <f>'B3 - COVID-19'!K87</f>
        <v>121.58226666666667</v>
      </c>
      <c r="P456">
        <f>'B3 - COVID-19'!L87</f>
        <v>141.13110666666665</v>
      </c>
      <c r="Q456">
        <f>'B3 - COVID-19'!M87</f>
        <v>141.13110666666665</v>
      </c>
      <c r="R456">
        <f>'B3 - COVID-19'!N87</f>
        <v>141.13110666666665</v>
      </c>
      <c r="S456">
        <f>'B3 - COVID-19'!P87</f>
        <v>1385.25143</v>
      </c>
      <c r="U456">
        <f t="shared" si="20"/>
        <v>1385.25143</v>
      </c>
    </row>
    <row r="457" spans="1:21">
      <c r="A457" s="2894" t="str">
        <f>ORG!$S$1</f>
        <v>Oct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19.973498484848506</v>
      </c>
      <c r="O457">
        <f>'B3 - COVID-19'!K88</f>
        <v>14.555081818181833</v>
      </c>
      <c r="P457">
        <f>'B3 - COVID-19'!L88</f>
        <v>34.103921818181817</v>
      </c>
      <c r="Q457">
        <f>'B3 - COVID-19'!M88</f>
        <v>-17.747183181818201</v>
      </c>
      <c r="R457">
        <f>'B3 - COVID-19'!N88</f>
        <v>-17.747183181818201</v>
      </c>
      <c r="S457">
        <f>'B3 - COVID-19'!P88</f>
        <v>-104.7486133333332</v>
      </c>
      <c r="U457">
        <f t="shared" si="20"/>
        <v>-104.7486133333332</v>
      </c>
    </row>
    <row r="458" spans="1:21">
      <c r="A458" s="2894" t="str">
        <f>ORG!$S$1</f>
        <v>Oct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Oct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Oct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Oct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Oct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Oct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Oct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Oct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Oct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Oct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Oct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Oct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Oct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Oct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Oct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Oct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Oct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Oct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Oct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Oct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Oct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Oct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Oct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Oct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Oct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Oct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Oct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Oct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Oct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Oct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Oct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Oct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Oct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Oct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Oct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Oct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Oct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Oct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Oct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Oct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Oct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Oct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Oct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Oct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Oct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Oct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Oct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1124.2236633333334</v>
      </c>
      <c r="O504">
        <f>'B3 - COVID-19'!K148</f>
        <v>1153.5984366666667</v>
      </c>
      <c r="P504">
        <f>'B3 - COVID-19'!L148</f>
        <v>1230.7845266666668</v>
      </c>
      <c r="Q504">
        <f>'B3 - COVID-19'!M148</f>
        <v>1157.3887666666667</v>
      </c>
      <c r="R504">
        <f>'B3 - COVID-19'!N148</f>
        <v>1233.9416366666669</v>
      </c>
      <c r="S504">
        <f>'B3 - COVID-19'!P148</f>
        <v>12738.709220000001</v>
      </c>
      <c r="U504">
        <f t="shared" si="24"/>
        <v>12738.709220000001</v>
      </c>
    </row>
    <row r="505" spans="1:21">
      <c r="A505" s="2894" t="str">
        <f>ORG!$S$1</f>
        <v>Oct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259.74471250826878</v>
      </c>
      <c r="O505">
        <f>'B3 - COVID-19'!K149</f>
        <v>754.70690198581724</v>
      </c>
      <c r="P505">
        <f>'B3 - COVID-19'!L149</f>
        <v>185.9634203191506</v>
      </c>
      <c r="Q505">
        <f>'B3 - COVID-19'!M149</f>
        <v>207.3341880307205</v>
      </c>
      <c r="R505">
        <f>'B3 - COVID-19'!N149</f>
        <v>649.62253920803914</v>
      </c>
      <c r="S505">
        <f>'B3 - COVID-19'!P149</f>
        <v>4191.2907809760018</v>
      </c>
      <c r="U505">
        <f t="shared" si="24"/>
        <v>4191.2907809760018</v>
      </c>
    </row>
    <row r="506" spans="1:21">
      <c r="A506" s="2894" t="str">
        <f>ORG!$S$1</f>
        <v>Oct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Oct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1124.2236633333334</v>
      </c>
      <c r="O507">
        <f>'B3 - COVID-19'!K152</f>
        <v>1153.5984366666667</v>
      </c>
      <c r="P507">
        <f>'B3 - COVID-19'!L152</f>
        <v>1230.7845266666668</v>
      </c>
      <c r="Q507">
        <f>'B3 - COVID-19'!M152</f>
        <v>1157.3887666666667</v>
      </c>
      <c r="R507">
        <f>'B3 - COVID-19'!N152</f>
        <v>1233.9416366666669</v>
      </c>
      <c r="S507">
        <f>'B3 - COVID-19'!P152</f>
        <v>12738.70926</v>
      </c>
      <c r="U507">
        <f t="shared" si="24"/>
        <v>12738.70926</v>
      </c>
    </row>
    <row r="508" spans="1:21">
      <c r="A508" s="2894" t="str">
        <f>ORG!$S$1</f>
        <v>Oct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Oct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1124.2236633333334</v>
      </c>
      <c r="O509">
        <f>'B3 - COVID-19'!K154</f>
        <v>1153.5984366666667</v>
      </c>
      <c r="P509">
        <f>'B3 - COVID-19'!L154</f>
        <v>1230.7845266666668</v>
      </c>
      <c r="Q509">
        <f>'B3 - COVID-19'!M154</f>
        <v>1157.3887666666667</v>
      </c>
      <c r="R509">
        <f>'B3 - COVID-19'!N154</f>
        <v>1233.9416366666669</v>
      </c>
      <c r="S509">
        <f>'B3 - COVID-19'!P154</f>
        <v>12738.70926</v>
      </c>
      <c r="U509">
        <f t="shared" si="24"/>
        <v>12738.70926</v>
      </c>
    </row>
    <row r="510" spans="1:21">
      <c r="A510" s="2894" t="str">
        <f>ORG!$S$1</f>
        <v>Oct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-259.74471250826878</v>
      </c>
      <c r="O510">
        <f>'B3 - COVID-19'!K155</f>
        <v>-754.70690198581724</v>
      </c>
      <c r="P510">
        <f>'B3 - COVID-19'!L155</f>
        <v>-185.9634203191506</v>
      </c>
      <c r="Q510">
        <f>'B3 - COVID-19'!M155</f>
        <v>-207.3341880307205</v>
      </c>
      <c r="R510">
        <f>'B3 - COVID-19'!N155</f>
        <v>-649.62253920803914</v>
      </c>
      <c r="S510">
        <f>'B3 - COVID-19'!P155</f>
        <v>-4191.2905509760021</v>
      </c>
      <c r="U510">
        <f t="shared" si="24"/>
        <v>-4191.2905509760021</v>
      </c>
    </row>
    <row r="511" spans="1:21">
      <c r="A511" s="2894" t="str">
        <f>ORG!$S$1</f>
        <v>Oct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Oct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Oct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Oct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Oct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Oct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43.62764</v>
      </c>
      <c r="O516">
        <f>'B3 - COVID-19'!AA23</f>
        <v>43.62764</v>
      </c>
      <c r="P516">
        <f>'B3 - COVID-19'!AB23</f>
        <v>43.62764</v>
      </c>
      <c r="Q516">
        <f>'B3 - COVID-19'!AC23</f>
        <v>43.62764</v>
      </c>
      <c r="R516">
        <f>'B3 - COVID-19'!AD23</f>
        <v>43.62764</v>
      </c>
      <c r="S516">
        <f>'B3 - COVID-19'!AF23</f>
        <v>523.53165999999987</v>
      </c>
      <c r="U516">
        <f t="shared" si="23"/>
        <v>523.53165999999987</v>
      </c>
    </row>
    <row r="517" spans="1:21">
      <c r="A517" s="2894" t="str">
        <f>ORG!$S$1</f>
        <v>Oct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676.48237000000006</v>
      </c>
      <c r="O517">
        <f>'B3 - COVID-19'!AA24</f>
        <v>698.94535000000008</v>
      </c>
      <c r="P517">
        <f>'B3 - COVID-19'!AB24</f>
        <v>698.94535000000008</v>
      </c>
      <c r="Q517">
        <f>'B3 - COVID-19'!AC24</f>
        <v>653.89248999999995</v>
      </c>
      <c r="R517">
        <f>'B3 - COVID-19'!AD24</f>
        <v>698.94535000000008</v>
      </c>
      <c r="S517">
        <f>'B3 - COVID-19'!AF24</f>
        <v>8003.35196</v>
      </c>
      <c r="U517">
        <f t="shared" si="23"/>
        <v>8003.35196</v>
      </c>
    </row>
    <row r="518" spans="1:21">
      <c r="A518" s="2894" t="str">
        <f>ORG!$S$1</f>
        <v>Oct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15</v>
      </c>
      <c r="O518">
        <f>'B3 - COVID-19'!AA25</f>
        <v>15</v>
      </c>
      <c r="P518">
        <f>'B3 - COVID-19'!AB25</f>
        <v>15</v>
      </c>
      <c r="Q518">
        <f>'B3 - COVID-19'!AC25</f>
        <v>15</v>
      </c>
      <c r="R518">
        <f>'B3 - COVID-19'!AD25</f>
        <v>15</v>
      </c>
      <c r="S518">
        <f>'B3 - COVID-19'!AF25</f>
        <v>186.46537000000001</v>
      </c>
      <c r="U518">
        <f t="shared" si="23"/>
        <v>186.46537000000001</v>
      </c>
    </row>
    <row r="519" spans="1:21">
      <c r="A519" s="2894" t="str">
        <f>ORG!$S$1</f>
        <v>Oct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0.01</v>
      </c>
      <c r="O519">
        <f>'B3 - COVID-19'!AA26</f>
        <v>0.01</v>
      </c>
      <c r="P519">
        <f>'B3 - COVID-19'!AB26</f>
        <v>0.01</v>
      </c>
      <c r="Q519">
        <f>'B3 - COVID-19'!AC26</f>
        <v>0.01</v>
      </c>
      <c r="R519">
        <f>'B3 - COVID-19'!AD26</f>
        <v>0.01</v>
      </c>
      <c r="S519">
        <f>'B3 - COVID-19'!AF26</f>
        <v>6.013589999999998</v>
      </c>
      <c r="U519">
        <f t="shared" si="23"/>
        <v>6.013589999999998</v>
      </c>
    </row>
    <row r="520" spans="1:21">
      <c r="A520" s="2894" t="str">
        <f>ORG!$S$1</f>
        <v>Oct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68.986679999999993</v>
      </c>
      <c r="O520">
        <f>'B3 - COVID-19'!AA27</f>
        <v>68.986679999999993</v>
      </c>
      <c r="P520">
        <f>'B3 - COVID-19'!AB27</f>
        <v>68.986679999999993</v>
      </c>
      <c r="Q520">
        <f>'B3 - COVID-19'!AC27</f>
        <v>68.986679999999993</v>
      </c>
      <c r="R520">
        <f>'B3 - COVID-19'!AD27</f>
        <v>68.986689999999982</v>
      </c>
      <c r="S520">
        <f>'B3 - COVID-19'!AF27</f>
        <v>735.39387999999985</v>
      </c>
      <c r="U520">
        <f t="shared" si="23"/>
        <v>735.39387999999985</v>
      </c>
    </row>
    <row r="521" spans="1:21">
      <c r="A521" s="2894" t="str">
        <f>ORG!$S$1</f>
        <v>Oct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51.25</v>
      </c>
      <c r="O521">
        <f>'B3 - COVID-19'!AA28</f>
        <v>71.75</v>
      </c>
      <c r="P521">
        <f>'B3 - COVID-19'!AB28</f>
        <v>61.5</v>
      </c>
      <c r="Q521">
        <f>'B3 - COVID-19'!AC28</f>
        <v>41</v>
      </c>
      <c r="R521">
        <f>'B3 - COVID-19'!AD28</f>
        <v>20.5</v>
      </c>
      <c r="S521">
        <f>'B3 - COVID-19'!AF28</f>
        <v>450.42205000000001</v>
      </c>
      <c r="U521">
        <f t="shared" si="23"/>
        <v>450.42205000000001</v>
      </c>
    </row>
    <row r="522" spans="1:21">
      <c r="A522" s="2894" t="str">
        <f>ORG!$S$1</f>
        <v>Oct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19.103549999999998</v>
      </c>
      <c r="O522">
        <f>'B3 - COVID-19'!AA29</f>
        <v>14.7408</v>
      </c>
      <c r="P522">
        <f>'B3 - COVID-19'!AB29</f>
        <v>19.7408</v>
      </c>
      <c r="Q522">
        <f>'B3 - COVID-19'!AC29</f>
        <v>14.7408</v>
      </c>
      <c r="R522">
        <f>'B3 - COVID-19'!AD29</f>
        <v>19.7408</v>
      </c>
      <c r="S522">
        <f>'B3 - COVID-19'!AF29</f>
        <v>100.55143000000001</v>
      </c>
      <c r="U522">
        <f t="shared" si="23"/>
        <v>100.55143000000001</v>
      </c>
    </row>
    <row r="523" spans="1:21">
      <c r="A523" s="2894" t="str">
        <f>ORG!$S$1</f>
        <v>Oct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Oct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1.7000000000000001E-4</v>
      </c>
      <c r="U524">
        <f t="shared" si="23"/>
        <v>1.7000000000000001E-4</v>
      </c>
    </row>
    <row r="525" spans="1:21">
      <c r="A525" s="2894" t="str">
        <f>ORG!$S$1</f>
        <v>Oct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20.8</v>
      </c>
      <c r="O525">
        <f>'B3 - COVID-19'!AA32</f>
        <v>20.8</v>
      </c>
      <c r="P525">
        <f>'B3 - COVID-19'!AB32</f>
        <v>20.8</v>
      </c>
      <c r="Q525">
        <f>'B3 - COVID-19'!AC32</f>
        <v>20.8</v>
      </c>
      <c r="R525">
        <f>'B3 - COVID-19'!AD32</f>
        <v>20.8</v>
      </c>
      <c r="S525">
        <f>'B3 - COVID-19'!AF32</f>
        <v>104</v>
      </c>
      <c r="U525">
        <f t="shared" si="23"/>
        <v>104</v>
      </c>
    </row>
    <row r="526" spans="1:21">
      <c r="A526" s="2894" t="str">
        <f>ORG!$S$1</f>
        <v>Oct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Oct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895.26024000000007</v>
      </c>
      <c r="O527">
        <f>'B3 - COVID-19'!AA34</f>
        <v>933.86047000000008</v>
      </c>
      <c r="P527">
        <f>'B3 - COVID-19'!AB34</f>
        <v>988.61047000000008</v>
      </c>
      <c r="Q527">
        <f>'B3 - COVID-19'!AC34</f>
        <v>918.05760999999995</v>
      </c>
      <c r="R527">
        <f>'B3 - COVID-19'!AD34</f>
        <v>947.61048000000005</v>
      </c>
      <c r="S527">
        <f>'B3 - COVID-19'!AF34</f>
        <v>10289.730109999999</v>
      </c>
      <c r="U527">
        <f t="shared" si="23"/>
        <v>10289.730109999999</v>
      </c>
    </row>
    <row r="528" spans="1:21">
      <c r="A528" s="2894" t="str">
        <f>ORG!$S$1</f>
        <v>Oct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Oct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Oct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Oct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Oct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Oct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Oct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Oct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Oct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Oct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Oct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Oct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Oct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Oct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Oct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Oct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Oct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Oct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Oct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Oct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Oct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Oct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Oct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Oct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Oct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Oct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Oct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Oct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Oct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Oct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Oct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Oct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Oct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Oct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Oct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Oct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Oct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Oct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Oct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Oct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Oct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Oct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Oct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Oct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Oct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Oct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Oct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Oct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Oct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Oct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Oct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Oct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Oct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Oct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Oct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Oct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Oct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Oct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Oct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Oct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Oct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Oct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Oct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Oct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Oct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Oct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Oct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Oct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Oct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Oct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Oct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Oct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Oct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Oct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Oct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Oct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Oct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Oct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Oct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2296.9166666666665</v>
      </c>
      <c r="U606">
        <f t="shared" si="29"/>
        <v>2296.9166666666665</v>
      </c>
    </row>
    <row r="607" spans="1:21">
      <c r="A607" s="2894" t="str">
        <f>ORG!$S$1</f>
        <v>Oct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2296.9166666666665</v>
      </c>
      <c r="U607">
        <f t="shared" si="29"/>
        <v>2296.9166666666665</v>
      </c>
    </row>
    <row r="608" spans="1:21">
      <c r="A608" s="2894" t="str">
        <f>ORG!$S$1</f>
        <v>Oct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Oct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Oct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Oct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Oct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2296.9166666666665</v>
      </c>
      <c r="U612">
        <f t="shared" si="29"/>
        <v>2296.9166666666665</v>
      </c>
    </row>
    <row r="613" spans="1:21">
      <c r="A613" s="2894" t="str">
        <f>ORG!$S$1</f>
        <v>Oct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2296.9166666666665</v>
      </c>
      <c r="U613">
        <f t="shared" si="29"/>
        <v>2296.9166666666665</v>
      </c>
    </row>
    <row r="614" spans="1:21">
      <c r="A614" s="2894" t="str">
        <f>ORG!$S$1</f>
        <v>Oct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Oct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Oct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Oct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Oct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Oct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Oct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Oct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Oct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Oct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Oct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Oct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478</v>
      </c>
      <c r="U625">
        <f t="shared" si="29"/>
        <v>478</v>
      </c>
    </row>
    <row r="626" spans="1:21">
      <c r="A626" s="2894" t="str">
        <f>ORG!$S$1</f>
        <v>Oct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Oct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Oct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Oct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Oct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Oct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28873</v>
      </c>
      <c r="U631">
        <f t="shared" si="29"/>
        <v>28873</v>
      </c>
    </row>
    <row r="632" spans="1:21">
      <c r="A632" s="2894" t="str">
        <f>ORG!$S$1</f>
        <v>Oct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Oct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Oct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Oct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Oct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Oct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Oct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Oct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Oct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Oct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Oct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2245</v>
      </c>
      <c r="U642">
        <f t="shared" si="29"/>
        <v>2245</v>
      </c>
    </row>
    <row r="643" spans="1:21">
      <c r="A643" s="2894" t="str">
        <f>ORG!$S$1</f>
        <v>Oct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Oct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Oct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Oct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Oct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Oct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40007</v>
      </c>
      <c r="U648">
        <f t="shared" si="29"/>
        <v>40007</v>
      </c>
    </row>
    <row r="649" spans="1:21">
      <c r="A649" s="2894" t="str">
        <f>ORG!$S$1</f>
        <v>Oct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Oct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Oct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Oct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Oct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Oct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Oct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Oct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Oct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Oct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Oct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Oct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Oct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Oct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Oct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Oct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Oct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Oct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Oct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Oct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Oct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Oct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Oct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Oct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Oct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Oct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Oct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Oct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Oct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Oct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Oct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Oct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Oct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Oct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Oct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Oct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Oct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Oct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Oct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Oct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Oct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Oct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Oct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Oct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Oct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Oct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Oct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Oct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Oct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Oct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Oct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Oct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Oct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Oct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Oct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Oct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Oct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Oct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Oct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Oct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Oct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Oct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Oct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Oct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Oct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Oct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Oct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Oct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Oct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Oct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Oct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Oct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Oct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Oct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Oct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Oct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Oct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Oct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Oct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Oct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Oct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Oct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Oct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Oct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Oct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Oct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Oct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Oct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Oct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Oct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Oct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Oct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Oct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Oct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Oct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Oct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Oct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Oct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Oct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Oct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Oct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Oct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Oct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Oct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Oct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Oct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Oct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Oct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Oct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Oct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Oct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Oct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Oct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Oct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Oct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Oct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Oct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Oct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Oct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Oct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Oct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Oct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Oct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Oct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Oct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Oct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Oct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Oct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Oct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Oct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Oct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Oct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Oct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Oct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Oct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Oct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Oct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Oct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Oct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Oct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Oct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Oct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Oct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Oct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Oct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Oct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Oct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Oct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Oct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Oct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Oct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Oct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Oct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Oct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Oct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Oct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Oct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Oct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Oct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Oct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Oct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Oct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Oct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Oct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Oct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Oct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Oct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Oct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Oct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Oct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Oct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Oct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Oct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Oct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Oct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Oct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Oct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Oct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Oct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Oct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Oct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Oct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Oct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Oct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Oct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Oct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Oct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Oct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Oct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Oct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Oct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Oct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Oct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Oct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Oct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Oct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Oct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Oct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Oct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Oct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Oct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Oct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Oct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Oct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Oct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Oct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Oct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Oct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Oct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Oct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Oct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Oct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Oct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Oct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Oct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Oct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Oct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Oct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Oct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Oct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Oct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Oct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Oct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Oct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Oct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Oct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Oct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Oct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Oct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Oct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Oct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Oct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Oct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Oct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Oct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Oct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Oct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Oct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Oct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Oct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Oct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Oct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Oct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Oct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Oct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Oct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Oct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Oct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Oct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Oct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Oct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Oct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Oct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Oct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Oct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Oct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Oct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Oct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Oct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Oct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Oct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Oct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Oct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Oct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Oct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Oct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Oct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Oct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Oct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Oct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Oct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Oct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Oct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Oct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Oct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Oct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Oct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Oct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Oct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Oct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Oct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Oct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Oct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Oct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Oct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Oct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Oct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Oct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Oct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Oct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Oct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Oct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Oct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Oct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Oct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Oct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Oct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Oct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Oct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Oct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Oct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Oct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Oct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Oct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Oct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Oct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Oct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Oct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Oct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Oct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Oct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Oct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Oct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Oct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Oct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Oct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Oct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Oct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Oct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Oct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Oct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Oct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Oct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Oct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Oct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Oct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Oct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Oct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Oct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Oct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Oct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Oct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Oct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Oct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Oct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Oct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Oct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Oct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Oct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Oct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Oct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Oct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Oct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Oct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Oct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Oct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Oct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Oct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Oct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Oct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Oct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Oct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Oct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Oct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Oct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Oct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Oct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Oct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Oct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Oct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Oct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Oct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Oct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Oct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Oct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Oct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Oct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Oct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Oct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Oct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Oct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Oct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Oct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Oct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Oct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Oct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Oct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Oct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Oct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Oct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Oct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Oct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Oct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Oct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Oct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Oct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Oct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Oct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Oct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Oct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Oct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Oct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Oct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Oct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Oct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Oct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Oct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Oct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Oct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Oct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Oct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Oct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Oct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Oct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Oct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Oct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Oct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Oct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Oct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Oct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Oct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Oct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Oct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Oct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Oct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Oct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Oct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Oct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Oct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Oct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Oct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Oct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Oct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Oct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Oct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Oct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Oct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Oct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Oct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Oct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Oct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Oct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Oct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Oct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Oct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Oct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Oct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Oct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Oct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Oct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Oct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Oct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Oct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Oct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Oct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Oct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Oct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Oct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Oct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Oct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Oct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Oct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Oct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Oct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Oct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Oct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Oct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Oct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Oct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Oct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Oct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Oct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Oct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Oct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Oct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Oct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Oct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Oct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Oct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Oct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Oct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Oct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Oct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Oct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Oct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Oct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Oct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Oct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Oct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Oct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Oct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Oct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Oct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Oct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Oct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Oct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Oct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Oct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Oct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Oct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Oct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Oct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Oct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Oct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Oct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Oct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Oct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Oct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Oct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Oct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Oct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Oct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Oct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Oct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Oct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Oct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Oct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Oct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Oct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Oct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Oct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Oct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Oct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Oct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Oct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Oct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Oct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Oct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Oct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Oct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Oct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Oct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Oct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Oct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Oct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Oct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Oct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Oct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Oct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Oct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Oct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Oct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Oct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Oct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Oct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Oct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Oct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Oct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Oct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Oct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Oct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Oct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Oct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Oct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Oct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Oct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Oct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Oct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Oct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Oct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Oct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Oct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Oct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Oct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Oct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Oct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Oct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Oct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Oct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Oct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Oct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Oct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Oct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Oct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Oct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Oct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Oct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Oct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Oct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Oct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Oct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Oct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Oct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Oct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Oct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Oct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Oct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Oct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Oct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Oct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Oct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Oct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Oct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Oct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Oct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Oct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Oct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Oct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Oct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Oct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Oct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Oct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Oct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Oct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Oct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Oct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Oct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Oct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Oct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Oct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Oct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Oct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Oct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Oct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Oct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Oct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Oct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Oct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Oct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Oct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Oct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Oct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Oct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Oct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Oct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Oct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Oct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Oct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Oct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Oct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Oct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Oct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Oct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Oct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Oct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Oct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Oct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Oct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Oct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Oct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Oct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Oct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Oct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Oct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Oct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Oct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Oct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Oct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Oct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Oct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Oct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Oct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Oct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Oct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Oct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Oct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Oct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Oct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Oct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Oct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Oct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Oct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Oct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Oct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Oct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Oct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Oct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Oct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Oct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Oct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Oct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Oct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Oct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Oct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Oct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Oct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Oct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Oct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Oct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Oct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Oct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225739.80403000003</v>
      </c>
      <c r="U1319">
        <f t="shared" si="32"/>
        <v>225739.80403000003</v>
      </c>
    </row>
    <row r="1320" spans="1:21">
      <c r="A1320" s="2894" t="str">
        <f>ORG!$S$1</f>
        <v>Oct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499</v>
      </c>
      <c r="U1320">
        <f t="shared" si="32"/>
        <v>499</v>
      </c>
    </row>
    <row r="1321" spans="1:21">
      <c r="A1321" s="2894" t="str">
        <f>ORG!$S$1</f>
        <v>Oct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Oct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Oct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Oct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Oct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Oct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Oct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7125.2929999999997</v>
      </c>
      <c r="U1327">
        <f t="shared" si="32"/>
        <v>7125.2929999999997</v>
      </c>
    </row>
    <row r="1328" spans="1:21">
      <c r="A1328" s="2894" t="str">
        <f>ORG!$S$1</f>
        <v>Oct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Oct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Oct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Oct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Oct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Oct 23</v>
      </c>
      <c r="B1333" t="str">
        <f>ORG!$M$1</f>
        <v>Public Health Wales Trust</v>
      </c>
      <c r="C1333" t="str">
        <f>'E1 - Invoiced Income'!$A$7</f>
        <v>Table E1 -  Invoiced Income Streams - TRUSTS ONLY</v>
      </c>
      <c r="D1333" s="2897">
        <f>'E1 - Invoiced Income'!A28</f>
        <v>17</v>
      </c>
      <c r="E1333" s="2896" t="str">
        <f>'E1 - Invoiced Income'!B28</f>
        <v>2023-24 M&amp;D 5% pay award (actuals to date plus forecast for remainder of year)</v>
      </c>
      <c r="S1333">
        <f>'E1 - Invoiced Income'!T28</f>
        <v>237</v>
      </c>
      <c r="U1333">
        <f t="shared" si="32"/>
        <v>237</v>
      </c>
    </row>
    <row r="1334" spans="1:21">
      <c r="A1334" s="2894" t="str">
        <f>ORG!$S$1</f>
        <v>Oct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Oct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Oct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Oct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Oct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Oct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Oct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Oct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Oct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Oct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Oct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Oct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Oct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Oct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Oct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Oct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Oct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Oct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Oct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Oct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241432.93703000003</v>
      </c>
      <c r="U1353">
        <f t="shared" si="32"/>
        <v>241432.93703000003</v>
      </c>
    </row>
    <row r="1354" spans="1:21">
      <c r="A1354" s="2894" t="str">
        <f>ORG!$S$1</f>
        <v>Oct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5033.2809999999999</v>
      </c>
      <c r="U1354">
        <f t="shared" si="32"/>
        <v>5033.2809999999999</v>
      </c>
    </row>
    <row r="1355" spans="1:21">
      <c r="A1355" s="2894" t="str">
        <f>ORG!$S$1</f>
        <v>Oct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580.13599999999997</v>
      </c>
      <c r="U1355">
        <f t="shared" si="32"/>
        <v>580.13599999999997</v>
      </c>
    </row>
    <row r="1356" spans="1:21">
      <c r="A1356" s="2894" t="str">
        <f>ORG!$S$1</f>
        <v>Oct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Oct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Oct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Oct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Oct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Oct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Oct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Oct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Oct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Oct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Oct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Oct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Oct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Oct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Oct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Oct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Oct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Oct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Oct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Oct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Oct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Oct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Oct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Oct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Oct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Oct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Oct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Oct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Oct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5613.4169999999995</v>
      </c>
      <c r="U1384">
        <f t="shared" si="32"/>
        <v>5613.4169999999995</v>
      </c>
    </row>
    <row r="1385" spans="1:21">
      <c r="A1385" s="2894" t="str">
        <f>ORG!$S$1</f>
        <v>Oct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6320.1769999999997</v>
      </c>
      <c r="U1385">
        <f t="shared" ref="U1385:U1415" si="381">S1385+T1385</f>
        <v>6320.1769999999997</v>
      </c>
    </row>
    <row r="1386" spans="1:21">
      <c r="A1386" s="2894" t="str">
        <f>ORG!$S$1</f>
        <v>Oct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805.11599999999999</v>
      </c>
      <c r="U1386">
        <f t="shared" si="381"/>
        <v>805.11599999999999</v>
      </c>
    </row>
    <row r="1387" spans="1:21">
      <c r="A1387" s="2894" t="str">
        <f>ORG!$S$1</f>
        <v>Oct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Oct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Oct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Oct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Oct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Oct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Oct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Oct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Oct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Oct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Oct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Oct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Oct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Oct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Oct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Oct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Oct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Oct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Oct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Oct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Oct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Oct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Oct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Oct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Oct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Oct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Oct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Oct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Oct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7125.2929999999997</v>
      </c>
      <c r="U1415">
        <f t="shared" si="381"/>
        <v>7125.2929999999997</v>
      </c>
    </row>
    <row r="1416" spans="1:21">
      <c r="A1416" s="2894" t="str">
        <f>ORG!$S$1</f>
        <v>Oct 23</v>
      </c>
      <c r="B1416" t="str">
        <f>ORG!$M$1</f>
        <v>Public Health Wales Trust</v>
      </c>
      <c r="C1416" t="s">
        <v>910</v>
      </c>
      <c r="D1416" s="2897">
        <f>'I - Capital RLM'!$A$129</f>
        <v>92</v>
      </c>
      <c r="E1416" s="2897" t="str">
        <f>'I - Capital RLM'!$B$129</f>
        <v xml:space="preserve">CHARGE AGAINST CRL / CEL  </v>
      </c>
      <c r="F1416" t="s">
        <v>1359</v>
      </c>
      <c r="S1416">
        <f>'I - Capital RLM'!C129</f>
        <v>327.76188000000002</v>
      </c>
    </row>
    <row r="1417" spans="1:21">
      <c r="A1417" s="2894" t="str">
        <f>ORG!$S$1</f>
        <v>Oct 23</v>
      </c>
      <c r="B1417" t="str">
        <f>ORG!$M$1</f>
        <v>Public Health Wales Trust</v>
      </c>
      <c r="C1417" t="s">
        <v>910</v>
      </c>
      <c r="D1417" s="2897">
        <f>'I - Capital RLM'!$A$129</f>
        <v>92</v>
      </c>
      <c r="E1417" s="2897" t="str">
        <f>'I - Capital RLM'!$B$129</f>
        <v xml:space="preserve">CHARGE AGAINST CRL / CEL  </v>
      </c>
      <c r="F1417" t="s">
        <v>1360</v>
      </c>
      <c r="S1417">
        <f>'I - Capital RLM'!D129</f>
        <v>327.76188000000002</v>
      </c>
    </row>
    <row r="1418" spans="1:21">
      <c r="A1418" s="2894" t="str">
        <f>ORG!$S$1</f>
        <v>Oct 23</v>
      </c>
      <c r="B1418" t="str">
        <f>ORG!$M$1</f>
        <v>Public Health Wales Trust</v>
      </c>
      <c r="C1418" t="s">
        <v>910</v>
      </c>
      <c r="D1418" s="2897">
        <f>'I - Capital RLM'!$A$129</f>
        <v>92</v>
      </c>
      <c r="E1418" s="2897" t="str">
        <f>'I - Capital RLM'!$B$129</f>
        <v xml:space="preserve">CHARGE AGAINST CRL / CEL  </v>
      </c>
      <c r="F1418" t="s">
        <v>1361</v>
      </c>
      <c r="S1418">
        <f>'I - Capital RLM'!G129</f>
        <v>1953.9995199999998</v>
      </c>
    </row>
    <row r="1419" spans="1:21">
      <c r="A1419" s="2894" t="str">
        <f>ORG!$S$1</f>
        <v>Oct 23</v>
      </c>
      <c r="B1419" t="str">
        <f>ORG!$M$1</f>
        <v>Public Health Wales Trust</v>
      </c>
      <c r="C1419" t="s">
        <v>910</v>
      </c>
      <c r="D1419" s="2897">
        <f>'I - Capital RLM'!$A$129</f>
        <v>92</v>
      </c>
      <c r="E1419" s="2897" t="str">
        <f>'I - Capital RLM'!$B$129</f>
        <v xml:space="preserve">CHARGE AGAINST CRL / CEL  </v>
      </c>
      <c r="F1419" t="s">
        <v>1362</v>
      </c>
      <c r="S1419">
        <f>'I - Capital RLM'!H129</f>
        <v>1953.9995199999998</v>
      </c>
    </row>
    <row r="1420" spans="1:21">
      <c r="A1420" s="2894" t="str">
        <f>ORG!$S$1</f>
        <v>Oct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Oct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Oct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Oct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Oct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Oct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Oct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Oct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Oct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Oct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Oct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Oct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Oct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Oct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Oct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Oct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Oct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Oct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Oct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Oct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Oct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Oct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Oct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Oct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Oct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Oct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Oct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Oct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Oct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Oct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Oct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Oct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Oct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Oct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Oct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Oct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Oct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Oct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Oct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Oct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Oct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Oct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Oct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Oct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Oct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Oct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Oct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Oct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Oct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Oct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Oct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Oct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Oct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Oct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Oct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Oct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Oct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Oct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Oct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Oct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Oct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Oct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Oct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Oct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Oct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Oct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Oct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Oct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Oct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Oct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Oct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Oct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Oct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Oct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Oct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Oct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Oct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Oct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Oct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Oct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Oct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Oct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Oct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Oct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Oct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Oct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Oct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Oct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Oct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Oct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Oct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Oct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Oct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Oct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Oct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Oct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Oct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Oct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Oct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Oct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Oct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Oct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Oct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Oct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Oct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Oct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Oct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Oct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Oct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Oct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Oct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Oct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Oct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Oct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Oct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Oct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Oct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Oct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Oct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Oct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Oct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Oct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Oct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Oct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Oct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Oct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Oct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Oct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Oct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Oct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Oct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Oct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Oct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Oct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Oct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Oct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Oct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Oct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Oct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Oct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Oct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Oct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Oct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Oct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Oct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Oct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Oct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Oct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Oct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Oct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Oct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Oct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Oct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Oct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Oct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Oct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Oct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Oct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Oct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Oct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Oct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Oct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Oct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Oct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Oct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Oct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Oct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Oct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Oct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Oct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Oct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Oct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Oct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Oct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Oct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Oct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Oct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Oct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Oct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Oct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Oct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Oct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Oct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Oct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Oct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Oct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Oct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Oct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Oct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Oct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Oct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Oct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Oct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Oct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Oct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Oct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Oct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Oct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Oct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Oct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Oct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Oct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-60</v>
      </c>
      <c r="N1621">
        <f>'B1 - SOCNE SOCNI Movement'!K12</f>
        <v>22</v>
      </c>
      <c r="O1621">
        <f>'B1 - SOCNE SOCNI Movement'!L12</f>
        <v>22</v>
      </c>
      <c r="P1621">
        <f>'B1 - SOCNE SOCNI Movement'!M12</f>
        <v>22</v>
      </c>
      <c r="Q1621">
        <f>'B1 - SOCNE SOCNI Movement'!N12</f>
        <v>22</v>
      </c>
      <c r="R1621">
        <f>'B1 - SOCNE SOCNI Movement'!O12</f>
        <v>23</v>
      </c>
      <c r="S1621">
        <f>'B1 - SOCNE SOCNI Movement'!P12</f>
        <v>51</v>
      </c>
      <c r="U1621">
        <f t="shared" si="395"/>
        <v>51</v>
      </c>
    </row>
    <row r="1622" spans="1:21">
      <c r="A1622" s="2894" t="str">
        <f>ORG!$S$1</f>
        <v>Oct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1</v>
      </c>
      <c r="N1622">
        <f>'B1 - SOCNE SOCNI Movement'!K13</f>
        <v>0</v>
      </c>
      <c r="O1622">
        <f>'B1 - SOCNE SOCNI Movement'!L13</f>
        <v>0</v>
      </c>
      <c r="P1622">
        <f>'B1 - SOCNE SOCNI Movement'!M13</f>
        <v>0</v>
      </c>
      <c r="Q1622">
        <f>'B1 - SOCNE SOCNI Movement'!N13</f>
        <v>0</v>
      </c>
      <c r="R1622">
        <f>'B1 - SOCNE SOCNI Movement'!O13</f>
        <v>0</v>
      </c>
      <c r="S1622">
        <f>'B1 - SOCNE SOCNI Movement'!P13</f>
        <v>1</v>
      </c>
      <c r="U1622">
        <f t="shared" si="395"/>
        <v>1</v>
      </c>
    </row>
    <row r="1623" spans="1:21">
      <c r="A1623" s="2894" t="str">
        <f>ORG!$S$1</f>
        <v>Oct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-657.06991113333424</v>
      </c>
      <c r="N1623">
        <f>'B1 - SOCNE SOCNI Movement'!K14</f>
        <v>386.44658766666907</v>
      </c>
      <c r="O1623">
        <f>'B1 - SOCNE SOCNI Movement'!L14</f>
        <v>-142.5924811333316</v>
      </c>
      <c r="P1623">
        <f>'B1 - SOCNE SOCNI Movement'!M14</f>
        <v>-165.81866446666754</v>
      </c>
      <c r="Q1623">
        <f>'B1 - SOCNE SOCNI Movement'!N14</f>
        <v>70.912373133334768</v>
      </c>
      <c r="R1623">
        <f>'B1 - SOCNE SOCNI Movement'!O14</f>
        <v>-1291.5205277999994</v>
      </c>
      <c r="S1623">
        <f>'B1 - SOCNE SOCNI Movement'!P14</f>
        <v>-1799.6426237333799</v>
      </c>
      <c r="U1623">
        <f t="shared" si="395"/>
        <v>-1799.6426237333799</v>
      </c>
    </row>
    <row r="1624" spans="1:21">
      <c r="A1624" s="2894" t="str">
        <f>ORG!$S$1</f>
        <v>Oct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122</v>
      </c>
      <c r="N1624">
        <f>'B1 - SOCNE SOCNI Movement'!K15</f>
        <v>1</v>
      </c>
      <c r="O1624">
        <f>'B1 - SOCNE SOCNI Movement'!L15</f>
        <v>1</v>
      </c>
      <c r="P1624">
        <f>'B1 - SOCNE SOCNI Movement'!M15</f>
        <v>1</v>
      </c>
      <c r="Q1624">
        <f>'B1 - SOCNE SOCNI Movement'!N15</f>
        <v>0</v>
      </c>
      <c r="R1624">
        <f>'B1 - SOCNE SOCNI Movement'!O15</f>
        <v>0</v>
      </c>
      <c r="S1624">
        <f>'B1 - SOCNE SOCNI Movement'!P15</f>
        <v>125</v>
      </c>
      <c r="U1624">
        <f t="shared" si="395"/>
        <v>125</v>
      </c>
    </row>
    <row r="1625" spans="1:21">
      <c r="A1625" s="2894" t="str">
        <f>ORG!$S$1</f>
        <v>Oct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-594.06991113333424</v>
      </c>
      <c r="N1625">
        <f>'B1 - SOCNE SOCNI Movement'!K16</f>
        <v>409.44658766666907</v>
      </c>
      <c r="O1625">
        <f>'B1 - SOCNE SOCNI Movement'!L16</f>
        <v>-119.5924811333316</v>
      </c>
      <c r="P1625">
        <f>'B1 - SOCNE SOCNI Movement'!M16</f>
        <v>-142.81866446666754</v>
      </c>
      <c r="Q1625">
        <f>'B1 - SOCNE SOCNI Movement'!N16</f>
        <v>92.912373133334768</v>
      </c>
      <c r="R1625">
        <f>'B1 - SOCNE SOCNI Movement'!O16</f>
        <v>-1268.5205277999994</v>
      </c>
      <c r="S1625">
        <f>'B1 - SOCNE SOCNI Movement'!P16</f>
        <v>-1622.6426237333799</v>
      </c>
      <c r="U1625">
        <f t="shared" si="395"/>
        <v>-1622.6426237333799</v>
      </c>
    </row>
    <row r="1626" spans="1:21">
      <c r="A1626" s="2894" t="str">
        <f>ORG!$S$1</f>
        <v>Oct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Oct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Oct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101.96647000000121</v>
      </c>
      <c r="N1628">
        <f>'B1 - SOCNE SOCNI Movement'!K19</f>
        <v>-14.221873333332042</v>
      </c>
      <c r="O1628">
        <f>'B1 - SOCNE SOCNI Movement'!L19</f>
        <v>-20.146839999999429</v>
      </c>
      <c r="P1628">
        <f>'B1 - SOCNE SOCNI Movement'!M19</f>
        <v>-6.2595899999996618</v>
      </c>
      <c r="Q1628">
        <f>'B1 - SOCNE SOCNI Movement'!N19</f>
        <v>5.7404100000003382</v>
      </c>
      <c r="R1628">
        <f>'B1 - SOCNE SOCNI Movement'!O19</f>
        <v>-50.259589999999662</v>
      </c>
      <c r="S1628">
        <f>'B1 - SOCNE SOCNI Movement'!P19</f>
        <v>16.818986666679848</v>
      </c>
      <c r="U1628">
        <f t="shared" si="395"/>
        <v>16.818986666679848</v>
      </c>
    </row>
    <row r="1629" spans="1:21">
      <c r="A1629" s="2894" t="str">
        <f>ORG!$S$1</f>
        <v>Oct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0</v>
      </c>
      <c r="M1629">
        <f>'B1 - SOCNE SOCNI Movement'!J20</f>
        <v>-692.03638113333182</v>
      </c>
      <c r="N1629">
        <f>'B1 - SOCNE SOCNI Movement'!K20</f>
        <v>423.6684609999993</v>
      </c>
      <c r="O1629">
        <f>'B1 - SOCNE SOCNI Movement'!L20</f>
        <v>-99.445641133333993</v>
      </c>
      <c r="P1629">
        <f>'B1 - SOCNE SOCNI Movement'!M20</f>
        <v>-136.55907446666606</v>
      </c>
      <c r="Q1629">
        <f>'B1 - SOCNE SOCNI Movement'!N20</f>
        <v>87.17196313333443</v>
      </c>
      <c r="R1629">
        <f>'B1 - SOCNE SOCNI Movement'!O20</f>
        <v>-1222.2609377999997</v>
      </c>
      <c r="S1629">
        <f>'B1 - SOCNE SOCNI Movement'!P20</f>
        <v>-1639.5216103999846</v>
      </c>
      <c r="U1629">
        <f t="shared" si="395"/>
        <v>-1639.5216103999846</v>
      </c>
    </row>
    <row r="1630" spans="1:21">
      <c r="A1630" s="2894" t="str">
        <f>ORG!$S$1</f>
        <v>Oct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Oct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Oct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Oct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Oct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Oct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Oct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Oct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Oct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Oct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Oct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0</v>
      </c>
      <c r="P1640">
        <f>'B1 - SOCNE SOCNI Movement'!M31</f>
        <v>0</v>
      </c>
      <c r="Q1640">
        <f>'B1 - SOCNE SOCNI Movement'!N31</f>
        <v>0</v>
      </c>
      <c r="R1640">
        <f>'B1 - SOCNE SOCNI Movement'!O31</f>
        <v>0</v>
      </c>
      <c r="S1640">
        <f>'B1 - SOCNE SOCNI Movement'!P31</f>
        <v>0.32999999999992724</v>
      </c>
      <c r="U1640">
        <f t="shared" si="395"/>
        <v>0.32999999999992724</v>
      </c>
    </row>
    <row r="1641" spans="1:21">
      <c r="A1641" s="2894" t="str">
        <f>ORG!$S$1</f>
        <v>Oct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0.55000000000001137</v>
      </c>
      <c r="U1641">
        <f t="shared" si="395"/>
        <v>0.55000000000001137</v>
      </c>
    </row>
    <row r="1642" spans="1:21">
      <c r="A1642" s="2894" t="str">
        <f>ORG!$S$1</f>
        <v>Oct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Oct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Oct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0</v>
      </c>
      <c r="M1644">
        <f>'B1 - SOCNE SOCNI Movement'!J35</f>
        <v>-590.06991113333061</v>
      </c>
      <c r="N1644">
        <f>'B1 - SOCNE SOCNI Movement'!K35</f>
        <v>409.44658766666544</v>
      </c>
      <c r="O1644">
        <f>'B1 - SOCNE SOCNI Movement'!L35</f>
        <v>-119.5924811333316</v>
      </c>
      <c r="P1644">
        <f>'B1 - SOCNE SOCNI Movement'!M35</f>
        <v>-142.81866446666754</v>
      </c>
      <c r="Q1644">
        <f>'B1 - SOCNE SOCNI Movement'!N35</f>
        <v>92.912373133334768</v>
      </c>
      <c r="R1644">
        <f>'B1 - SOCNE SOCNI Movement'!O35</f>
        <v>-1272.5205277999994</v>
      </c>
      <c r="S1644">
        <f>'B1 - SOCNE SOCNI Movement'!P35</f>
        <v>-1621.8226237333729</v>
      </c>
      <c r="U1644">
        <f t="shared" si="395"/>
        <v>-1621.8226237333729</v>
      </c>
    </row>
    <row r="1645" spans="1:21">
      <c r="A1645" s="2894" t="str">
        <f>ORG!$S$1</f>
        <v>Oct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0</v>
      </c>
      <c r="M1645">
        <f>'B1 - SOCNE SOCNI Movement'!J36</f>
        <v>-4</v>
      </c>
      <c r="N1645">
        <f>'B1 - SOCNE SOCNI Movement'!K36</f>
        <v>3.637978807091713E-12</v>
      </c>
      <c r="O1645">
        <f>'B1 - SOCNE SOCNI Movement'!L36</f>
        <v>0</v>
      </c>
      <c r="P1645">
        <f>'B1 - SOCNE SOCNI Movement'!M36</f>
        <v>0</v>
      </c>
      <c r="Q1645">
        <f>'B1 - SOCNE SOCNI Movement'!N36</f>
        <v>0</v>
      </c>
      <c r="R1645">
        <f>'B1 - SOCNE SOCNI Movement'!O36</f>
        <v>4</v>
      </c>
      <c r="S1645">
        <f>'B1 - SOCNE SOCNI Movement'!P36</f>
        <v>-0.819999999992433</v>
      </c>
      <c r="U1645">
        <f t="shared" si="395"/>
        <v>-0.819999999992433</v>
      </c>
    </row>
    <row r="1646" spans="1:21">
      <c r="A1646" s="2894" t="str">
        <f>ORG!$S$1</f>
        <v>Oct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Oct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Oct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Oct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Oct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1978</v>
      </c>
      <c r="N1650">
        <f>'B1 - SOCNE SOCNI Movement'!K43</f>
        <v>1972</v>
      </c>
      <c r="O1650">
        <f>'B1 - SOCNE SOCNI Movement'!L43</f>
        <v>1972</v>
      </c>
      <c r="P1650">
        <f>'B1 - SOCNE SOCNI Movement'!M43</f>
        <v>1972</v>
      </c>
      <c r="Q1650">
        <f>'B1 - SOCNE SOCNI Movement'!N43</f>
        <v>1972</v>
      </c>
      <c r="R1650">
        <f>'B1 - SOCNE SOCNI Movement'!O43</f>
        <v>1972</v>
      </c>
      <c r="S1650">
        <f>'B1 - SOCNE SOCNI Movement'!P43</f>
        <v>24407</v>
      </c>
      <c r="U1650">
        <f t="shared" si="395"/>
        <v>24407</v>
      </c>
    </row>
    <row r="1651" spans="1:21">
      <c r="A1651" s="2894" t="str">
        <f>ORG!$S$1</f>
        <v>Oct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19</v>
      </c>
      <c r="M1651">
        <f>'B1 - SOCNE SOCNI Movement'!J44</f>
        <v>18</v>
      </c>
      <c r="N1651">
        <f>'B1 - SOCNE SOCNI Movement'!K44</f>
        <v>18</v>
      </c>
      <c r="O1651">
        <f>'B1 - SOCNE SOCNI Movement'!L44</f>
        <v>18</v>
      </c>
      <c r="P1651">
        <f>'B1 - SOCNE SOCNI Movement'!M44</f>
        <v>18</v>
      </c>
      <c r="Q1651">
        <f>'B1 - SOCNE SOCNI Movement'!N44</f>
        <v>18</v>
      </c>
      <c r="R1651">
        <f>'B1 - SOCNE SOCNI Movement'!O44</f>
        <v>18</v>
      </c>
      <c r="S1651">
        <f>'B1 - SOCNE SOCNI Movement'!P44</f>
        <v>223</v>
      </c>
      <c r="U1651">
        <f t="shared" si="395"/>
        <v>223</v>
      </c>
    </row>
    <row r="1652" spans="1:21">
      <c r="A1652" s="2894" t="str">
        <f>ORG!$S$1</f>
        <v>Oct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18761.069911133334</v>
      </c>
      <c r="N1652">
        <f>'B1 - SOCNE SOCNI Movement'!K45</f>
        <v>18028.777075666665</v>
      </c>
      <c r="O1652">
        <f>'B1 - SOCNE SOCNI Movement'!L45</f>
        <v>18417.190917799999</v>
      </c>
      <c r="P1652">
        <f>'B1 - SOCNE SOCNI Movement'!M45</f>
        <v>18179.603191133334</v>
      </c>
      <c r="Q1652">
        <f>'B1 - SOCNE SOCNI Movement'!N45</f>
        <v>18088.476393533332</v>
      </c>
      <c r="R1652">
        <f>'B1 - SOCNE SOCNI Movement'!O45</f>
        <v>22605.462164466666</v>
      </c>
      <c r="S1652">
        <f>'B1 - SOCNE SOCNI Movement'!P45</f>
        <v>214359.57965373335</v>
      </c>
      <c r="U1652">
        <f t="shared" si="395"/>
        <v>214359.57965373335</v>
      </c>
    </row>
    <row r="1653" spans="1:21">
      <c r="A1653" s="2894" t="str">
        <f>ORG!$S$1</f>
        <v>Oct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491</v>
      </c>
      <c r="N1653">
        <f>'B1 - SOCNE SOCNI Movement'!K46</f>
        <v>461</v>
      </c>
      <c r="O1653">
        <f>'B1 - SOCNE SOCNI Movement'!L46</f>
        <v>461</v>
      </c>
      <c r="P1653">
        <f>'B1 - SOCNE SOCNI Movement'!M46</f>
        <v>459</v>
      </c>
      <c r="Q1653">
        <f>'B1 - SOCNE SOCNI Movement'!N46</f>
        <v>457</v>
      </c>
      <c r="R1653">
        <f>'B1 - SOCNE SOCNI Movement'!O46</f>
        <v>457</v>
      </c>
      <c r="S1653">
        <f>'B1 - SOCNE SOCNI Movement'!P46</f>
        <v>6076</v>
      </c>
      <c r="U1653">
        <f t="shared" si="395"/>
        <v>6076</v>
      </c>
    </row>
    <row r="1654" spans="1:21">
      <c r="A1654" s="2894" t="str">
        <f>ORG!$S$1</f>
        <v>Oct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19813</v>
      </c>
      <c r="M1654">
        <f>'B1 - SOCNE SOCNI Movement'!J47</f>
        <v>21248.069911133334</v>
      </c>
      <c r="N1654">
        <f>'B1 - SOCNE SOCNI Movement'!K47</f>
        <v>20479.777075666665</v>
      </c>
      <c r="O1654">
        <f>'B1 - SOCNE SOCNI Movement'!L47</f>
        <v>20868.190917799999</v>
      </c>
      <c r="P1654">
        <f>'B1 - SOCNE SOCNI Movement'!M47</f>
        <v>20628.603191133334</v>
      </c>
      <c r="Q1654">
        <f>'B1 - SOCNE SOCNI Movement'!N47</f>
        <v>20535.476393533332</v>
      </c>
      <c r="R1654">
        <f>'B1 - SOCNE SOCNI Movement'!O47</f>
        <v>25052.462164466666</v>
      </c>
      <c r="S1654">
        <f>'B1 - SOCNE SOCNI Movement'!P47</f>
        <v>245065.57965373335</v>
      </c>
      <c r="U1654">
        <f t="shared" si="395"/>
        <v>245065.57965373335</v>
      </c>
    </row>
    <row r="1655" spans="1:21">
      <c r="A1655" s="2894" t="str">
        <f>ORG!$S$1</f>
        <v>Oct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Oct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Oct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11541.033529999999</v>
      </c>
      <c r="N1657">
        <f>'B1 - SOCNE SOCNI Movement'!K50</f>
        <v>11592.978446666666</v>
      </c>
      <c r="O1657">
        <f>'B1 - SOCNE SOCNI Movement'!L50</f>
        <v>11611.677956666666</v>
      </c>
      <c r="P1657">
        <f>'B1 - SOCNE SOCNI Movement'!M50</f>
        <v>11633.622873333334</v>
      </c>
      <c r="Q1657">
        <f>'B1 - SOCNE SOCNI Movement'!N50</f>
        <v>11611.779973333334</v>
      </c>
      <c r="R1657">
        <f>'B1 - SOCNE SOCNI Movement'!O50</f>
        <v>11998.779973333334</v>
      </c>
      <c r="S1657">
        <f>'B1 - SOCNE SOCNI Movement'!P50</f>
        <v>139567.87275333333</v>
      </c>
      <c r="U1657">
        <f t="shared" si="395"/>
        <v>139567.87275333333</v>
      </c>
    </row>
    <row r="1658" spans="1:21">
      <c r="A1658" s="2894" t="str">
        <f>ORG!$S$1</f>
        <v>Oct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7866.1100000000006</v>
      </c>
      <c r="M1658">
        <f>'B1 - SOCNE SOCNI Movement'!J51</f>
        <v>9135.1463811333324</v>
      </c>
      <c r="N1658">
        <f>'B1 - SOCNE SOCNI Movement'!K51</f>
        <v>8314.9086289999996</v>
      </c>
      <c r="O1658">
        <f>'B1 - SOCNE SOCNI Movement'!L51</f>
        <v>8684.6229611333329</v>
      </c>
      <c r="P1658">
        <f>'B1 - SOCNE SOCNI Movement'!M51</f>
        <v>8423.090317799999</v>
      </c>
      <c r="Q1658">
        <f>'B1 - SOCNE SOCNI Movement'!N51</f>
        <v>8351.8064201999987</v>
      </c>
      <c r="R1658">
        <f>'B1 - SOCNE SOCNI Movement'!O51</f>
        <v>12606.092191133333</v>
      </c>
      <c r="S1658">
        <f>'B1 - SOCNE SOCNI Movement'!P51</f>
        <v>98634.775900399982</v>
      </c>
      <c r="U1658">
        <f t="shared" si="395"/>
        <v>98634.775900399982</v>
      </c>
    </row>
    <row r="1659" spans="1:21">
      <c r="A1659" s="2894" t="str">
        <f>ORG!$S$1</f>
        <v>Oct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Oct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Oct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Oct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Oct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Oct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Oct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Oct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Oct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Oct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Oct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543.77</v>
      </c>
      <c r="O1669">
        <f>'B1 - SOCNE SOCNI Movement'!L62</f>
        <v>543.77</v>
      </c>
      <c r="P1669">
        <f>'B1 - SOCNE SOCNI Movement'!M62</f>
        <v>543.77</v>
      </c>
      <c r="Q1669">
        <f>'B1 - SOCNE SOCNI Movement'!N62</f>
        <v>543.77</v>
      </c>
      <c r="R1669">
        <f>'B1 - SOCNE SOCNI Movement'!O62</f>
        <v>543.16999999999996</v>
      </c>
      <c r="S1669">
        <f>'B1 - SOCNE SOCNI Movement'!P62</f>
        <v>6524.7910000000011</v>
      </c>
      <c r="U1669">
        <f t="shared" si="395"/>
        <v>6524.7910000000011</v>
      </c>
    </row>
    <row r="1670" spans="1:21">
      <c r="A1670" s="2894" t="str">
        <f>ORG!$S$1</f>
        <v>Oct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28.12</v>
      </c>
      <c r="P1670">
        <f>'B1 - SOCNE SOCNI Movement'!M63</f>
        <v>28.12</v>
      </c>
      <c r="Q1670">
        <f>'B1 - SOCNE SOCNI Movement'!N63</f>
        <v>28.12</v>
      </c>
      <c r="R1670">
        <f>'B1 - SOCNE SOCNI Movement'!O63</f>
        <v>28.42</v>
      </c>
      <c r="S1670">
        <f>'B1 - SOCNE SOCNI Movement'!P63</f>
        <v>337.32000000000005</v>
      </c>
      <c r="U1670">
        <f t="shared" si="395"/>
        <v>337.32000000000005</v>
      </c>
    </row>
    <row r="1671" spans="1:21">
      <c r="A1671" s="2894" t="str">
        <f>ORG!$S$1</f>
        <v>Oct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Oct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Oct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19699</v>
      </c>
      <c r="M1673">
        <f>'B1 - SOCNE SOCNI Movement'!J66</f>
        <v>21248.069911133331</v>
      </c>
      <c r="N1673">
        <f>'B1 - SOCNE SOCNI Movement'!K66</f>
        <v>20479.777075666665</v>
      </c>
      <c r="O1673">
        <f>'B1 - SOCNE SOCNI Movement'!L66</f>
        <v>20868.190917799999</v>
      </c>
      <c r="P1673">
        <f>'B1 - SOCNE SOCNI Movement'!M66</f>
        <v>20628.603191133334</v>
      </c>
      <c r="Q1673">
        <f>'B1 - SOCNE SOCNI Movement'!N66</f>
        <v>20535.476393533332</v>
      </c>
      <c r="R1673">
        <f>'B1 - SOCNE SOCNI Movement'!O66</f>
        <v>25176.462164466662</v>
      </c>
      <c r="S1673">
        <f>'B1 - SOCNE SOCNI Movement'!P66</f>
        <v>245064.75965373334</v>
      </c>
      <c r="U1673">
        <f t="shared" si="397"/>
        <v>245064.75965373334</v>
      </c>
    </row>
    <row r="1674" spans="1:21">
      <c r="A1674" s="2894" t="str">
        <f>ORG!$S$1</f>
        <v>Oct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114</v>
      </c>
      <c r="M1674">
        <f>'B1 - SOCNE SOCNI Movement'!J67</f>
        <v>0</v>
      </c>
      <c r="N1674">
        <f>'B1 - SOCNE SOCNI Movement'!K67</f>
        <v>0</v>
      </c>
      <c r="O1674">
        <f>'B1 - SOCNE SOCNI Movement'!L67</f>
        <v>0</v>
      </c>
      <c r="P1674">
        <f>'B1 - SOCNE SOCNI Movement'!M67</f>
        <v>0</v>
      </c>
      <c r="Q1674">
        <f>'B1 - SOCNE SOCNI Movement'!N67</f>
        <v>0</v>
      </c>
      <c r="R1674">
        <f>'B1 - SOCNE SOCNI Movement'!O67</f>
        <v>-123.99999999999636</v>
      </c>
      <c r="S1674">
        <f>'B1 - SOCNE SOCNI Movement'!P67</f>
        <v>0.82000000000334694</v>
      </c>
      <c r="U1674">
        <f t="shared" si="397"/>
        <v>0.82000000000334694</v>
      </c>
    </row>
    <row r="1675" spans="1:21">
      <c r="A1675" s="2894" t="str">
        <f>ORG!$S$1</f>
        <v>Oct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Oct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Oct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Oct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Oct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1994</v>
      </c>
      <c r="O1679">
        <f>'B1 - SOCNE SOCNI Movement'!L76</f>
        <v>1994</v>
      </c>
      <c r="P1679">
        <f>'B1 - SOCNE SOCNI Movement'!M76</f>
        <v>1994</v>
      </c>
      <c r="Q1679">
        <f>'B1 - SOCNE SOCNI Movement'!N76</f>
        <v>1994</v>
      </c>
      <c r="R1679">
        <f>'B1 - SOCNE SOCNI Movement'!O76</f>
        <v>1995</v>
      </c>
      <c r="S1679">
        <f>'B1 - SOCNE SOCNI Movement'!P76</f>
        <v>24458</v>
      </c>
      <c r="U1679">
        <f t="shared" si="397"/>
        <v>24458</v>
      </c>
    </row>
    <row r="1680" spans="1:21">
      <c r="A1680" s="2894" t="str">
        <f>ORG!$S$1</f>
        <v>Oct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18</v>
      </c>
      <c r="O1680">
        <f>'B1 - SOCNE SOCNI Movement'!L77</f>
        <v>18</v>
      </c>
      <c r="P1680">
        <f>'B1 - SOCNE SOCNI Movement'!M77</f>
        <v>18</v>
      </c>
      <c r="Q1680">
        <f>'B1 - SOCNE SOCNI Movement'!N77</f>
        <v>18</v>
      </c>
      <c r="R1680">
        <f>'B1 - SOCNE SOCNI Movement'!O77</f>
        <v>18</v>
      </c>
      <c r="S1680">
        <f>'B1 - SOCNE SOCNI Movement'!P77</f>
        <v>224</v>
      </c>
      <c r="U1680">
        <f t="shared" si="397"/>
        <v>224</v>
      </c>
    </row>
    <row r="1681" spans="1:21">
      <c r="A1681" s="2894" t="str">
        <f>ORG!$S$1</f>
        <v>Oct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18415.223663333334</v>
      </c>
      <c r="O1681">
        <f>'B1 - SOCNE SOCNI Movement'!L78</f>
        <v>18274.598436666667</v>
      </c>
      <c r="P1681">
        <f>'B1 - SOCNE SOCNI Movement'!M78</f>
        <v>18013.784526666666</v>
      </c>
      <c r="Q1681">
        <f>'B1 - SOCNE SOCNI Movement'!N78</f>
        <v>18159.388766666667</v>
      </c>
      <c r="R1681">
        <f>'B1 - SOCNE SOCNI Movement'!O78</f>
        <v>21313.941636666666</v>
      </c>
      <c r="S1681">
        <f>'B1 - SOCNE SOCNI Movement'!P78</f>
        <v>212559.93702999997</v>
      </c>
      <c r="U1681">
        <f t="shared" si="397"/>
        <v>212559.93702999997</v>
      </c>
    </row>
    <row r="1682" spans="1:21">
      <c r="A1682" s="2894" t="str">
        <f>ORG!$S$1</f>
        <v>Oct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462</v>
      </c>
      <c r="O1682">
        <f>'B1 - SOCNE SOCNI Movement'!L79</f>
        <v>462</v>
      </c>
      <c r="P1682">
        <f>'B1 - SOCNE SOCNI Movement'!M79</f>
        <v>460</v>
      </c>
      <c r="Q1682">
        <f>'B1 - SOCNE SOCNI Movement'!N79</f>
        <v>457</v>
      </c>
      <c r="R1682">
        <f>'B1 - SOCNE SOCNI Movement'!O79</f>
        <v>457</v>
      </c>
      <c r="S1682">
        <f>'B1 - SOCNE SOCNI Movement'!P79</f>
        <v>6201</v>
      </c>
      <c r="U1682">
        <f t="shared" si="397"/>
        <v>6201</v>
      </c>
    </row>
    <row r="1683" spans="1:21">
      <c r="A1683" s="2894" t="str">
        <f>ORG!$S$1</f>
        <v>Oct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20889.223663333334</v>
      </c>
      <c r="O1683">
        <f>'B1 - SOCNE SOCNI Movement'!L80</f>
        <v>20748.598436666667</v>
      </c>
      <c r="P1683">
        <f>'B1 - SOCNE SOCNI Movement'!M80</f>
        <v>20485.784526666666</v>
      </c>
      <c r="Q1683">
        <f>'B1 - SOCNE SOCNI Movement'!N80</f>
        <v>20628.388766666667</v>
      </c>
      <c r="R1683">
        <f>'B1 - SOCNE SOCNI Movement'!O80</f>
        <v>23783.941636666666</v>
      </c>
      <c r="S1683">
        <f>'B1 - SOCNE SOCNI Movement'!P80</f>
        <v>243442.93702999997</v>
      </c>
      <c r="U1683">
        <f t="shared" si="397"/>
        <v>243442.93702999997</v>
      </c>
    </row>
    <row r="1684" spans="1:21">
      <c r="A1684" s="2894" t="str">
        <f>ORG!$S$1</f>
        <v>Oct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Oct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Oct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11578.756573333334</v>
      </c>
      <c r="O1686">
        <f>'B1 - SOCNE SOCNI Movement'!L83</f>
        <v>11591.531116666667</v>
      </c>
      <c r="P1686">
        <f>'B1 - SOCNE SOCNI Movement'!M83</f>
        <v>11627.363283333334</v>
      </c>
      <c r="Q1686">
        <f>'B1 - SOCNE SOCNI Movement'!N83</f>
        <v>11617.520383333334</v>
      </c>
      <c r="R1686">
        <f>'B1 - SOCNE SOCNI Movement'!O83</f>
        <v>11948.520383333334</v>
      </c>
      <c r="S1686">
        <f>'B1 - SOCNE SOCNI Movement'!P83</f>
        <v>139584.69174000001</v>
      </c>
      <c r="U1686">
        <f t="shared" si="397"/>
        <v>139584.69174000001</v>
      </c>
    </row>
    <row r="1687" spans="1:21">
      <c r="A1687" s="2894" t="str">
        <f>ORG!$S$1</f>
        <v>Oct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8738.5770899999989</v>
      </c>
      <c r="O1687">
        <f>'B1 - SOCNE SOCNI Movement'!L84</f>
        <v>8585.1773199999989</v>
      </c>
      <c r="P1687">
        <f>'B1 - SOCNE SOCNI Movement'!M84</f>
        <v>8286.5312433333329</v>
      </c>
      <c r="Q1687">
        <f>'B1 - SOCNE SOCNI Movement'!N84</f>
        <v>8438.9783833333331</v>
      </c>
      <c r="R1687">
        <f>'B1 - SOCNE SOCNI Movement'!O84</f>
        <v>11383.831253333334</v>
      </c>
      <c r="S1687">
        <f>'B1 - SOCNE SOCNI Movement'!P84</f>
        <v>96995.254289999997</v>
      </c>
      <c r="U1687">
        <f t="shared" si="397"/>
        <v>96995.254289999997</v>
      </c>
    </row>
    <row r="1688" spans="1:21">
      <c r="A1688" s="2894" t="str">
        <f>ORG!$S$1</f>
        <v>Oct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Oct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Oct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Oct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Oct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Oct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Oct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Oct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Oct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Oct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Oct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543.77</v>
      </c>
      <c r="O1698">
        <f>'B1 - SOCNE SOCNI Movement'!L95</f>
        <v>543.77</v>
      </c>
      <c r="P1698">
        <f>'B1 - SOCNE SOCNI Movement'!M95</f>
        <v>543.77</v>
      </c>
      <c r="Q1698">
        <f>'B1 - SOCNE SOCNI Movement'!N95</f>
        <v>543.77</v>
      </c>
      <c r="R1698">
        <f>'B1 - SOCNE SOCNI Movement'!O95</f>
        <v>543.16999999999996</v>
      </c>
      <c r="S1698">
        <f>'B1 - SOCNE SOCNI Movement'!P95</f>
        <v>6525.121000000001</v>
      </c>
      <c r="U1698">
        <f t="shared" si="397"/>
        <v>6525.121000000001</v>
      </c>
    </row>
    <row r="1699" spans="1:21">
      <c r="A1699" s="2894" t="str">
        <f>ORG!$S$1</f>
        <v>Oct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Oct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Oct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Oct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20889.22366333333</v>
      </c>
      <c r="O1702">
        <f>'B1 - SOCNE SOCNI Movement'!L99</f>
        <v>20748.598436666667</v>
      </c>
      <c r="P1702">
        <f>'B1 - SOCNE SOCNI Movement'!M99</f>
        <v>20485.784526666666</v>
      </c>
      <c r="Q1702">
        <f>'B1 - SOCNE SOCNI Movement'!N99</f>
        <v>20628.388766666667</v>
      </c>
      <c r="R1702">
        <f>'B1 - SOCNE SOCNI Movement'!O99</f>
        <v>23903.941636666663</v>
      </c>
      <c r="S1702">
        <f>'B1 - SOCNE SOCNI Movement'!P99</f>
        <v>243442.93702999997</v>
      </c>
      <c r="U1702">
        <f t="shared" si="397"/>
        <v>243442.93702999997</v>
      </c>
    </row>
    <row r="1703" spans="1:21">
      <c r="A1703" s="2894" t="str">
        <f>ORG!$S$1</f>
        <v>Oct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3.637978807091713E-12</v>
      </c>
      <c r="O1703">
        <f>'B1 - SOCNE SOCNI Movement'!L100</f>
        <v>0</v>
      </c>
      <c r="P1703">
        <f>'B1 - SOCNE SOCNI Movement'!M100</f>
        <v>0</v>
      </c>
      <c r="Q1703">
        <f>'B1 - SOCNE SOCNI Movement'!N100</f>
        <v>0</v>
      </c>
      <c r="R1703">
        <f>'B1 - SOCNE SOCNI Movement'!O100</f>
        <v>-119.99999999999636</v>
      </c>
      <c r="S1703">
        <f>'B1 - SOCNE SOCNI Movement'!P100</f>
        <v>1.0913936421275139E-11</v>
      </c>
      <c r="U1703">
        <f t="shared" si="397"/>
        <v>1.0913936421275139E-11</v>
      </c>
    </row>
    <row r="1704" spans="1:21">
      <c r="A1704" s="2894" t="str">
        <f>ORG!$S$1</f>
        <v>Oct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Oct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Oct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Oct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Oct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-117</v>
      </c>
      <c r="U1708">
        <f t="shared" si="397"/>
        <v>-117</v>
      </c>
    </row>
    <row r="1709" spans="1:21">
      <c r="A1709" s="2894" t="str">
        <f>ORG!$S$1</f>
        <v>Oct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-117</v>
      </c>
      <c r="F1709" t="str">
        <f>'B1 - SOCNE SOCNI Movement'!C13</f>
        <v>WHSSC Income</v>
      </c>
      <c r="S1709">
        <f>'B1 - SOCNE SOCNI Movement'!S13</f>
        <v>0</v>
      </c>
      <c r="U1709">
        <f t="shared" si="397"/>
        <v>0</v>
      </c>
    </row>
    <row r="1710" spans="1:21">
      <c r="A1710" s="2894" t="str">
        <f>ORG!$S$1</f>
        <v>Oct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0</v>
      </c>
      <c r="F1710" t="str">
        <f>'B1 - SOCNE SOCNI Movement'!C14</f>
        <v>Welsh Government Income (Non RRL)</v>
      </c>
      <c r="S1710">
        <f>'B1 - SOCNE SOCNI Movement'!S14</f>
        <v>772</v>
      </c>
      <c r="U1710">
        <f t="shared" si="397"/>
        <v>772</v>
      </c>
    </row>
    <row r="1711" spans="1:21">
      <c r="A1711" s="2894" t="str">
        <f>ORG!$S$1</f>
        <v>Oct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772</v>
      </c>
      <c r="F1711" t="str">
        <f>'B1 - SOCNE SOCNI Movement'!C15</f>
        <v>Other Income</v>
      </c>
      <c r="S1711">
        <f>'B1 - SOCNE SOCNI Movement'!S15</f>
        <v>186</v>
      </c>
      <c r="U1711">
        <f t="shared" si="397"/>
        <v>186</v>
      </c>
    </row>
    <row r="1712" spans="1:21">
      <c r="A1712" s="2894" t="str">
        <f>ORG!$S$1</f>
        <v>Oct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186</v>
      </c>
      <c r="F1712" t="str">
        <f>'B1 - SOCNE SOCNI Movement'!C16</f>
        <v>Total Income</v>
      </c>
      <c r="S1712">
        <f>'B1 - SOCNE SOCNI Movement'!S16</f>
        <v>841</v>
      </c>
      <c r="U1712">
        <f t="shared" si="397"/>
        <v>841</v>
      </c>
    </row>
    <row r="1713" spans="1:21">
      <c r="A1713" s="2894" t="str">
        <f>ORG!$S$1</f>
        <v>Oct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841</v>
      </c>
      <c r="F1713" t="str">
        <f>'B1 - SOCNE SOCNI Movement'!C17</f>
        <v>Primary Care Contractor (excl. drugs, incl. NRL expenditure)</v>
      </c>
      <c r="S1713">
        <f>'B1 - SOCNE SOCNI Movement'!S17</f>
        <v>0</v>
      </c>
      <c r="U1713">
        <f t="shared" si="397"/>
        <v>0</v>
      </c>
    </row>
    <row r="1714" spans="1:21">
      <c r="A1714" s="2894" t="str">
        <f>ORG!$S$1</f>
        <v>Oct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Oct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382</v>
      </c>
      <c r="U1715">
        <f t="shared" si="397"/>
        <v>382</v>
      </c>
    </row>
    <row r="1716" spans="1:21">
      <c r="A1716" s="2894" t="str">
        <f>ORG!$S$1</f>
        <v>Oct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382</v>
      </c>
      <c r="F1716" t="str">
        <f>'B1 - SOCNE SOCNI Movement'!C20</f>
        <v>Provider Services - Non Pay (excluding drugs &amp; depreciation)</v>
      </c>
      <c r="S1716">
        <f>'B1 - SOCNE SOCNI Movement'!S20</f>
        <v>577</v>
      </c>
      <c r="U1716">
        <f t="shared" si="397"/>
        <v>577</v>
      </c>
    </row>
    <row r="1717" spans="1:21">
      <c r="A1717" s="2894" t="str">
        <f>ORG!$S$1</f>
        <v>Oct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577</v>
      </c>
      <c r="F1717" t="str">
        <f>'B1 - SOCNE SOCNI Movement'!C21</f>
        <v>Secondary Care - Drugs</v>
      </c>
      <c r="S1717">
        <f>'B1 - SOCNE SOCNI Movement'!S21</f>
        <v>0</v>
      </c>
      <c r="U1717">
        <f t="shared" si="397"/>
        <v>0</v>
      </c>
    </row>
    <row r="1718" spans="1:21">
      <c r="A1718" s="2894" t="str">
        <f>ORG!$S$1</f>
        <v>Oct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Oct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Oct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Oct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Oct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Oct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Oct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Oct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Oct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Oct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v>
      </c>
      <c r="U1727">
        <f t="shared" si="397"/>
        <v>0</v>
      </c>
    </row>
    <row r="1728" spans="1:21">
      <c r="A1728" s="2894" t="str">
        <f>ORG!$S$1</f>
        <v>Oct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0</v>
      </c>
      <c r="F1728" t="str">
        <f>'B1 - SOCNE SOCNI Movement'!C32</f>
        <v>AME Donated Depreciation\Impairments</v>
      </c>
      <c r="S1728">
        <f>'B1 - SOCNE SOCNI Movement'!S32</f>
        <v>0</v>
      </c>
      <c r="U1728">
        <f t="shared" si="397"/>
        <v>0</v>
      </c>
    </row>
    <row r="1729" spans="1:21">
      <c r="A1729" s="2894" t="str">
        <f>ORG!$S$1</f>
        <v>Oct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Oct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Oct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959</v>
      </c>
      <c r="U1731">
        <f t="shared" ref="U1731:U1786" si="398">S1731+T1731</f>
        <v>959</v>
      </c>
    </row>
    <row r="1732" spans="1:21">
      <c r="A1732" s="2894" t="str">
        <f>ORG!$S$1</f>
        <v>Oct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959</v>
      </c>
      <c r="F1732" t="str">
        <f>'B1 - SOCNE SOCNI Movement'!C36</f>
        <v>Forecast Outturn</v>
      </c>
      <c r="S1732">
        <f>'B1 - SOCNE SOCNI Movement'!S36</f>
        <v>-118</v>
      </c>
      <c r="U1732">
        <f t="shared" si="398"/>
        <v>-118</v>
      </c>
    </row>
    <row r="1733" spans="1:21">
      <c r="A1733" s="2894" t="str">
        <f>ORG!$S$1</f>
        <v>Oct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-118</v>
      </c>
      <c r="F1733" t="str">
        <f>'B1 - SOCNE SOCNI Movement'!C10</f>
        <v>Revenue Resource Limit</v>
      </c>
      <c r="S1733">
        <f>'B1 - SOCNE SOCNI Movement'!T10</f>
        <v>0</v>
      </c>
      <c r="U1733">
        <f t="shared" si="398"/>
        <v>0</v>
      </c>
    </row>
    <row r="1734" spans="1:21">
      <c r="A1734" s="2894" t="str">
        <f>ORG!$S$1</f>
        <v>Oct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Oct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-60</v>
      </c>
      <c r="U1735">
        <f t="shared" si="398"/>
        <v>-60</v>
      </c>
    </row>
    <row r="1736" spans="1:21">
      <c r="A1736" s="2894" t="str">
        <f>ORG!$S$1</f>
        <v>Oct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Oct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-657.06991113333424</v>
      </c>
      <c r="U1737">
        <f t="shared" si="398"/>
        <v>-657.06991113333424</v>
      </c>
    </row>
    <row r="1738" spans="1:21">
      <c r="A1738" s="2894" t="str">
        <f>ORG!$S$1</f>
        <v>Oct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122</v>
      </c>
      <c r="U1738">
        <f t="shared" si="398"/>
        <v>122</v>
      </c>
    </row>
    <row r="1739" spans="1:21">
      <c r="A1739" s="2894" t="str">
        <f>ORG!$S$1</f>
        <v>Oct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-594.06991113333424</v>
      </c>
      <c r="U1739">
        <f t="shared" si="398"/>
        <v>-594.06991113333424</v>
      </c>
    </row>
    <row r="1740" spans="1:21">
      <c r="A1740" s="2894" t="str">
        <f>ORG!$S$1</f>
        <v>Oct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Oct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Oct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101.96647000000121</v>
      </c>
      <c r="U1742">
        <f t="shared" si="398"/>
        <v>101.96647000000121</v>
      </c>
    </row>
    <row r="1743" spans="1:21">
      <c r="A1743" s="2894" t="str">
        <f>ORG!$S$1</f>
        <v>Oct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-692.03638113333182</v>
      </c>
      <c r="U1743">
        <f t="shared" si="398"/>
        <v>-692.03638113333182</v>
      </c>
    </row>
    <row r="1744" spans="1:21">
      <c r="A1744" s="2894" t="str">
        <f>ORG!$S$1</f>
        <v>Oct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Oct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Oct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Oct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Oct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Oct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Oct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Oct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Oct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Oct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Oct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v>
      </c>
      <c r="U1754">
        <f t="shared" si="398"/>
        <v>0</v>
      </c>
    </row>
    <row r="1755" spans="1:21">
      <c r="A1755" s="2894" t="str">
        <f>ORG!$S$1</f>
        <v>Oct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4" t="str">
        <f>ORG!$S$1</f>
        <v>Oct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Oct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Oct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-590.06991113333061</v>
      </c>
      <c r="U1758">
        <f t="shared" si="398"/>
        <v>-590.06991113333061</v>
      </c>
    </row>
    <row r="1759" spans="1:21">
      <c r="A1759" s="2894" t="str">
        <f>ORG!$S$1</f>
        <v>Oct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-4</v>
      </c>
      <c r="U1759">
        <f t="shared" si="398"/>
        <v>-4</v>
      </c>
    </row>
    <row r="1760" spans="1:21">
      <c r="A1760" s="2894" t="str">
        <f>ORG!$S$1</f>
        <v>Oct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Oct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Oct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51</v>
      </c>
      <c r="U1762">
        <f t="shared" si="398"/>
        <v>51</v>
      </c>
    </row>
    <row r="1763" spans="1:21">
      <c r="A1763" s="2894" t="str">
        <f>ORG!$S$1</f>
        <v>Oct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Oct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-1799.6426237333799</v>
      </c>
      <c r="U1764">
        <f t="shared" si="398"/>
        <v>-1799.6426237333799</v>
      </c>
    </row>
    <row r="1765" spans="1:21">
      <c r="A1765" s="2894" t="str">
        <f>ORG!$S$1</f>
        <v>Oct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125</v>
      </c>
      <c r="U1765">
        <f t="shared" si="398"/>
        <v>125</v>
      </c>
    </row>
    <row r="1766" spans="1:21">
      <c r="A1766" s="2894" t="str">
        <f>ORG!$S$1</f>
        <v>Oct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-1622.6426237333799</v>
      </c>
      <c r="U1766">
        <f t="shared" si="398"/>
        <v>-1622.6426237333799</v>
      </c>
    </row>
    <row r="1767" spans="1:21">
      <c r="A1767" s="2894" t="str">
        <f>ORG!$S$1</f>
        <v>Oct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Oct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Oct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16.818986666679848</v>
      </c>
      <c r="U1769">
        <f t="shared" si="398"/>
        <v>16.818986666679848</v>
      </c>
    </row>
    <row r="1770" spans="1:21">
      <c r="A1770" s="2894" t="str">
        <f>ORG!$S$1</f>
        <v>Oct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-1639.5216103999846</v>
      </c>
      <c r="U1770">
        <f t="shared" si="398"/>
        <v>-1639.5216103999846</v>
      </c>
    </row>
    <row r="1771" spans="1:21">
      <c r="A1771" s="2894" t="str">
        <f>ORG!$S$1</f>
        <v>Oct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Oct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Oct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Oct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Oct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Oct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Oct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Oct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Oct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Oct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Oct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0.32999999999992724</v>
      </c>
      <c r="U1781">
        <f t="shared" si="398"/>
        <v>0.32999999999992724</v>
      </c>
    </row>
    <row r="1782" spans="1:21">
      <c r="A1782" s="2894" t="str">
        <f>ORG!$S$1</f>
        <v>Oct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0.55000000000001137</v>
      </c>
      <c r="U1782">
        <f t="shared" si="398"/>
        <v>0.55000000000001137</v>
      </c>
    </row>
    <row r="1783" spans="1:21">
      <c r="A1783" s="2894" t="str">
        <f>ORG!$S$1</f>
        <v>Oct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Oct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Oct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-1621.8226237333729</v>
      </c>
      <c r="U1785">
        <f t="shared" si="398"/>
        <v>-1621.8226237333729</v>
      </c>
    </row>
    <row r="1786" spans="1:21">
      <c r="A1786" s="2894" t="str">
        <f>ORG!$S$1</f>
        <v>Oct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-0.819999999992433</v>
      </c>
      <c r="U1786">
        <f t="shared" si="398"/>
        <v>-0.819999999992433</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100" zoomScale="70" zoomScaleNormal="70" workbookViewId="0">
      <selection activeCell="G20" sqref="G20:G22"/>
    </sheetView>
  </sheetViews>
  <sheetFormatPr defaultColWidth="8.81640625" defaultRowHeight="15"/>
  <cols>
    <col min="1" max="1" width="5.1796875" customWidth="1"/>
    <col min="2" max="2" width="70.08984375" customWidth="1"/>
    <col min="6" max="6" width="2.453125" style="414" customWidth="1"/>
    <col min="10" max="10" width="2.81640625" style="759" customWidth="1"/>
    <col min="11" max="11" width="0" style="759" hidden="1" customWidth="1"/>
    <col min="12" max="12" width="8.81640625" style="759"/>
    <col min="13" max="13" width="54.81640625" style="753" customWidth="1"/>
    <col min="14" max="14" width="70.453125" customWidth="1"/>
  </cols>
  <sheetData>
    <row r="1" spans="1:40" ht="30">
      <c r="A1" s="79" t="str">
        <f>+Summary!A1</f>
        <v>Public Health Wales Trust</v>
      </c>
      <c r="B1" s="71"/>
      <c r="C1" s="71"/>
      <c r="D1" s="71"/>
      <c r="E1" s="71"/>
      <c r="F1" s="323"/>
      <c r="G1" s="71"/>
      <c r="H1" s="70" t="s">
        <v>80</v>
      </c>
      <c r="I1" s="140" t="str">
        <f>+Summary!H1</f>
        <v>Oct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v>1954</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v>45232</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18.64245</v>
      </c>
      <c r="D20" s="27">
        <v>18.64245</v>
      </c>
      <c r="E20" s="397">
        <f t="shared" ref="E20:E59" si="2">+D20-C20</f>
        <v>0</v>
      </c>
      <c r="F20" s="398">
        <f t="shared" ref="F20:F59" si="3">IF(AND(D20&gt;0,B20=""),1,0)</f>
        <v>0</v>
      </c>
      <c r="G20" s="27">
        <v>35</v>
      </c>
      <c r="H20" s="27">
        <v>35</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1449</v>
      </c>
      <c r="C21" s="27">
        <v>10.853059999999999</v>
      </c>
      <c r="D21" s="27">
        <v>10.853059999999999</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1450</v>
      </c>
      <c r="C22" s="27">
        <v>177.75447</v>
      </c>
      <c r="D22" s="27">
        <v>177.75447</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1477</v>
      </c>
      <c r="C28" s="27">
        <v>0</v>
      </c>
      <c r="D28" s="27">
        <v>0</v>
      </c>
      <c r="E28" s="397">
        <f t="shared" si="2"/>
        <v>0</v>
      </c>
      <c r="F28" s="398">
        <f t="shared" si="3"/>
        <v>0</v>
      </c>
      <c r="G28" s="27">
        <v>160</v>
      </c>
      <c r="H28" s="27">
        <v>160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207.24997999999999</v>
      </c>
      <c r="D60" s="117">
        <f t="shared" si="6"/>
        <v>207.24997999999999</v>
      </c>
      <c r="E60" s="117">
        <f t="shared" si="6"/>
        <v>0</v>
      </c>
      <c r="F60" s="398">
        <f t="shared" si="6"/>
        <v>0</v>
      </c>
      <c r="G60" s="117">
        <f t="shared" si="6"/>
        <v>721</v>
      </c>
      <c r="H60" s="117">
        <f t="shared" si="6"/>
        <v>721</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901.07033999999999</v>
      </c>
      <c r="H64" s="27">
        <v>901.07033999999999</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98.890360000000001</v>
      </c>
      <c r="D65" s="27">
        <v>98.890360000000001</v>
      </c>
      <c r="E65" s="397">
        <f>+D65-C65</f>
        <v>0</v>
      </c>
      <c r="F65" s="323"/>
      <c r="G65" s="27">
        <v>123.56394</v>
      </c>
      <c r="H65" s="27">
        <v>123.56394</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16.200600000000001</v>
      </c>
      <c r="D67" s="27">
        <v>16.200600000000001</v>
      </c>
      <c r="E67" s="397">
        <f>+D67-C67</f>
        <v>0</v>
      </c>
      <c r="F67" s="323"/>
      <c r="G67" s="27">
        <v>76.75036999999999</v>
      </c>
      <c r="H67" s="27">
        <v>76.75036999999999</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131.61487</v>
      </c>
      <c r="H68" s="28">
        <v>131.61487</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120.51190000000001</v>
      </c>
      <c r="D69" s="117">
        <f>SUM(D64:D68)</f>
        <v>120.51190000000001</v>
      </c>
      <c r="E69" s="117">
        <f>SUM(E64:E68)</f>
        <v>0</v>
      </c>
      <c r="F69" s="323"/>
      <c r="G69" s="117">
        <f>SUM(G64:G68)</f>
        <v>1232.9995199999998</v>
      </c>
      <c r="H69" s="117">
        <f>SUM(H64:H68)</f>
        <v>1232.9995199999998</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327.76188000000002</v>
      </c>
      <c r="D95" s="117">
        <f>+D60+D69+D93</f>
        <v>327.76188000000002</v>
      </c>
      <c r="E95" s="117">
        <f>IF(C95&lt;&gt;"",D95-C95,"")</f>
        <v>0</v>
      </c>
      <c r="F95" s="323"/>
      <c r="G95" s="117">
        <f>+G60+G69+G93</f>
        <v>1953.9995199999998</v>
      </c>
      <c r="H95" s="117">
        <f>+H60+H69+H93</f>
        <v>1953.9995199999998</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8</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327.76188000000002</v>
      </c>
      <c r="D129" s="117">
        <f>+D95-SUM(D106+D110+D124)+D126</f>
        <v>327.76188000000002</v>
      </c>
      <c r="E129" s="117">
        <f>+E95-SUM(E106+E110+E124)+E126</f>
        <v>0</v>
      </c>
      <c r="F129" s="323"/>
      <c r="G129" s="117">
        <f>+G95-SUM(G106+G110+G124)+G126</f>
        <v>1953.9995199999998</v>
      </c>
      <c r="H129" s="117">
        <f>+H95-SUM(H106+H110+H124)+H126</f>
        <v>1953.9995199999998</v>
      </c>
      <c r="I129" s="117">
        <f>+I95-SUM(I106+I110+I124)+I126</f>
        <v>0</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-1626.23812</v>
      </c>
      <c r="E131" s="358"/>
      <c r="F131" s="323"/>
      <c r="G131" s="358"/>
      <c r="H131" s="117">
        <f>+H129-C7</f>
        <v>-4.8000000015235855E-4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L78" sqref="L78"/>
    </sheetView>
  </sheetViews>
  <sheetFormatPr defaultColWidth="8.81640625" defaultRowHeight="15"/>
  <cols>
    <col min="1" max="1" width="5.81640625" customWidth="1"/>
    <col min="2" max="2" width="46.54296875" bestFit="1" customWidth="1"/>
    <col min="3" max="3" width="16" customWidth="1"/>
    <col min="21" max="24" width="8.81640625" style="759"/>
    <col min="25" max="25" width="60.08984375" customWidth="1"/>
    <col min="26" max="26" width="91.81640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Oct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1455</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1451</v>
      </c>
      <c r="D13" s="27">
        <v>35</v>
      </c>
      <c r="E13" s="27">
        <v>35</v>
      </c>
      <c r="F13" s="27">
        <v>2.8710200000000001</v>
      </c>
      <c r="G13" s="27">
        <v>4.2888400000000004</v>
      </c>
      <c r="H13" s="27">
        <v>5.09192</v>
      </c>
      <c r="I13" s="27">
        <v>3.4153200000000004</v>
      </c>
      <c r="J13" s="27">
        <v>2.9750000000000001</v>
      </c>
      <c r="K13" s="27">
        <v>0</v>
      </c>
      <c r="L13" s="27">
        <v>0</v>
      </c>
      <c r="M13" s="27">
        <v>0</v>
      </c>
      <c r="N13" s="27">
        <v>16</v>
      </c>
      <c r="O13" s="27">
        <v>0</v>
      </c>
      <c r="P13" s="27">
        <v>0</v>
      </c>
      <c r="Q13" s="27">
        <v>0</v>
      </c>
      <c r="R13" s="196">
        <f t="shared" ref="R13:R43" si="4">SUMPRODUCT($F$7:$Q$7,F13:Q13)</f>
        <v>18.642100000000003</v>
      </c>
      <c r="S13" s="196">
        <f t="shared" si="1"/>
        <v>34.642099999999999</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1452</v>
      </c>
      <c r="D14" s="27">
        <v>186</v>
      </c>
      <c r="E14" s="27">
        <v>186</v>
      </c>
      <c r="F14" s="27">
        <v>0</v>
      </c>
      <c r="G14" s="27">
        <v>0</v>
      </c>
      <c r="H14" s="27">
        <v>0</v>
      </c>
      <c r="I14" s="27">
        <v>0</v>
      </c>
      <c r="J14" s="27">
        <v>0</v>
      </c>
      <c r="K14" s="27">
        <v>1.27946</v>
      </c>
      <c r="L14" s="27">
        <v>9.5736000000000008</v>
      </c>
      <c r="M14" s="27">
        <v>35</v>
      </c>
      <c r="N14" s="27">
        <v>35</v>
      </c>
      <c r="O14" s="27">
        <v>35</v>
      </c>
      <c r="P14" s="27">
        <v>35</v>
      </c>
      <c r="Q14" s="27">
        <v>35.4</v>
      </c>
      <c r="R14" s="196">
        <f t="shared" si="4"/>
        <v>10.853060000000001</v>
      </c>
      <c r="S14" s="196">
        <f t="shared" si="1"/>
        <v>186.25306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1453</v>
      </c>
      <c r="C15" s="576" t="s">
        <v>1452</v>
      </c>
      <c r="D15" s="27">
        <v>340</v>
      </c>
      <c r="E15" s="27">
        <v>340</v>
      </c>
      <c r="F15" s="27">
        <v>0</v>
      </c>
      <c r="G15" s="27">
        <v>0</v>
      </c>
      <c r="H15" s="27">
        <v>0</v>
      </c>
      <c r="I15" s="27">
        <v>0</v>
      </c>
      <c r="J15" s="27">
        <v>0</v>
      </c>
      <c r="K15" s="27">
        <v>0</v>
      </c>
      <c r="L15" s="27">
        <v>177.75447</v>
      </c>
      <c r="M15" s="27">
        <v>0</v>
      </c>
      <c r="N15" s="27">
        <v>162</v>
      </c>
      <c r="O15" s="27">
        <v>0</v>
      </c>
      <c r="P15" s="27">
        <v>0</v>
      </c>
      <c r="Q15" s="27">
        <v>0</v>
      </c>
      <c r="R15" s="196">
        <f t="shared" si="4"/>
        <v>177.75447</v>
      </c>
      <c r="S15" s="196">
        <f t="shared" si="1"/>
        <v>339.75446999999997</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1456</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1477</v>
      </c>
      <c r="C20" s="576" t="s">
        <v>1478</v>
      </c>
      <c r="D20" s="27">
        <v>160</v>
      </c>
      <c r="E20" s="27">
        <v>160</v>
      </c>
      <c r="F20" s="27"/>
      <c r="G20" s="27"/>
      <c r="H20" s="27"/>
      <c r="I20" s="27"/>
      <c r="J20" s="27"/>
      <c r="K20" s="27">
        <v>0</v>
      </c>
      <c r="L20" s="27">
        <v>0</v>
      </c>
      <c r="M20" s="27">
        <v>0</v>
      </c>
      <c r="N20" s="27">
        <v>50</v>
      </c>
      <c r="O20" s="27">
        <v>0</v>
      </c>
      <c r="P20" s="27">
        <v>47</v>
      </c>
      <c r="Q20" s="27">
        <v>63.4</v>
      </c>
      <c r="R20" s="196">
        <f t="shared" si="4"/>
        <v>0</v>
      </c>
      <c r="S20" s="196">
        <f t="shared" si="1"/>
        <v>160.4</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721</v>
      </c>
      <c r="E45" s="117">
        <f t="shared" ref="E45:S45" si="9">SUM(E12:E44)</f>
        <v>721</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35</v>
      </c>
      <c r="N45" s="117">
        <f t="shared" si="9"/>
        <v>263</v>
      </c>
      <c r="O45" s="117">
        <f t="shared" si="9"/>
        <v>35</v>
      </c>
      <c r="P45" s="117">
        <f t="shared" si="9"/>
        <v>82</v>
      </c>
      <c r="Q45" s="117">
        <f t="shared" si="9"/>
        <v>98.8</v>
      </c>
      <c r="R45" s="117">
        <f>SUM(R12:R44)</f>
        <v>207.24963</v>
      </c>
      <c r="S45" s="117">
        <f t="shared" si="9"/>
        <v>721.04962999999998</v>
      </c>
      <c r="T45" s="616">
        <f>+'I - Capital RLM'!D60</f>
        <v>207.24997999999999</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207.24963</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1454</v>
      </c>
      <c r="D48" s="32">
        <v>901.13634000000002</v>
      </c>
      <c r="E48" s="27">
        <v>901.13634000000002</v>
      </c>
      <c r="F48" s="27">
        <v>1.0383499999999999</v>
      </c>
      <c r="G48" s="27">
        <v>0</v>
      </c>
      <c r="H48" s="27">
        <v>0</v>
      </c>
      <c r="I48" s="27">
        <v>4.6020000000000003</v>
      </c>
      <c r="J48" s="27">
        <v>0</v>
      </c>
      <c r="K48" s="27">
        <v>0</v>
      </c>
      <c r="L48" s="27">
        <v>0</v>
      </c>
      <c r="M48" s="27">
        <v>99</v>
      </c>
      <c r="N48" s="27">
        <v>99</v>
      </c>
      <c r="O48" s="27">
        <v>499</v>
      </c>
      <c r="P48" s="27">
        <v>99</v>
      </c>
      <c r="Q48" s="27">
        <v>99</v>
      </c>
      <c r="R48" s="196">
        <f>SUMPRODUCT($F$7:$Q$7,F48:Q48)</f>
        <v>5.6403499999999998</v>
      </c>
      <c r="S48" s="196">
        <f>SUM(F48:Q48)</f>
        <v>900.64035000000001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1454</v>
      </c>
      <c r="D49" s="32">
        <v>123.563</v>
      </c>
      <c r="E49" s="27">
        <v>123.563</v>
      </c>
      <c r="F49" s="27">
        <v>0</v>
      </c>
      <c r="G49" s="27">
        <v>0</v>
      </c>
      <c r="H49" s="27">
        <v>0</v>
      </c>
      <c r="I49" s="27">
        <v>0</v>
      </c>
      <c r="J49" s="27">
        <v>32.7072</v>
      </c>
      <c r="K49" s="27">
        <v>61.893160000000002</v>
      </c>
      <c r="L49" s="27">
        <v>4.38</v>
      </c>
      <c r="M49" s="27">
        <v>12</v>
      </c>
      <c r="N49" s="27">
        <v>0</v>
      </c>
      <c r="O49" s="27">
        <v>0</v>
      </c>
      <c r="P49" s="27">
        <v>13</v>
      </c>
      <c r="Q49" s="27">
        <v>0</v>
      </c>
      <c r="R49" s="196">
        <f>SUMPRODUCT($F$7:$Q$7,F49:Q49)</f>
        <v>98.98035999999999</v>
      </c>
      <c r="S49" s="196">
        <f>SUM(F49:Q49)</f>
        <v>123.98035999999999</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1452</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1452</v>
      </c>
      <c r="D51" s="32">
        <v>76.75</v>
      </c>
      <c r="E51" s="27">
        <v>76.75</v>
      </c>
      <c r="F51" s="27">
        <v>0</v>
      </c>
      <c r="G51" s="27">
        <v>0</v>
      </c>
      <c r="H51" s="27">
        <v>0</v>
      </c>
      <c r="I51" s="27">
        <v>11.16</v>
      </c>
      <c r="J51" s="27">
        <v>1</v>
      </c>
      <c r="K51" s="27">
        <v>-0.216</v>
      </c>
      <c r="L51" s="27">
        <v>3.9605999999999999</v>
      </c>
      <c r="M51" s="27">
        <v>3</v>
      </c>
      <c r="N51" s="27">
        <v>0</v>
      </c>
      <c r="O51" s="27">
        <v>24</v>
      </c>
      <c r="P51" s="27">
        <v>24</v>
      </c>
      <c r="Q51" s="27">
        <v>10</v>
      </c>
      <c r="R51" s="196">
        <f>SUMPRODUCT($F$7:$Q$7,F51:Q51)</f>
        <v>15.9046</v>
      </c>
      <c r="S51" s="196">
        <f>SUM(F51:Q51)</f>
        <v>76.904600000000002</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1454</v>
      </c>
      <c r="D52" s="33">
        <v>131.614</v>
      </c>
      <c r="E52" s="28">
        <v>131.614</v>
      </c>
      <c r="F52" s="28">
        <v>0</v>
      </c>
      <c r="G52" s="28">
        <v>6.0310000000000002E-2</v>
      </c>
      <c r="H52" s="28">
        <v>-0.27972000000000002</v>
      </c>
      <c r="I52" s="28">
        <v>0</v>
      </c>
      <c r="J52" s="28">
        <v>0</v>
      </c>
      <c r="K52" s="28">
        <v>0</v>
      </c>
      <c r="L52" s="28">
        <v>0</v>
      </c>
      <c r="M52" s="28"/>
      <c r="N52" s="28"/>
      <c r="O52" s="28">
        <v>44</v>
      </c>
      <c r="P52" s="28">
        <v>44</v>
      </c>
      <c r="Q52" s="28">
        <v>44</v>
      </c>
      <c r="R52" s="118">
        <f>SUMPRODUCT($F$7:$Q$7,F52:Q52)</f>
        <v>-0.21941000000000002</v>
      </c>
      <c r="S52" s="118">
        <f>SUM(F52:Q52)</f>
        <v>131.78058999999999</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1233.0633400000002</v>
      </c>
      <c r="E53" s="117">
        <f t="shared" ref="E53:S53" si="10">SUM(E48:E52)</f>
        <v>1233.0633400000002</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114</v>
      </c>
      <c r="N53" s="117">
        <f t="shared" si="10"/>
        <v>99</v>
      </c>
      <c r="O53" s="117">
        <f t="shared" si="10"/>
        <v>567</v>
      </c>
      <c r="P53" s="117">
        <f t="shared" si="10"/>
        <v>180</v>
      </c>
      <c r="Q53" s="117">
        <f t="shared" si="10"/>
        <v>153</v>
      </c>
      <c r="R53" s="117">
        <f t="shared" si="10"/>
        <v>120.30589999999999</v>
      </c>
      <c r="S53" s="117">
        <f t="shared" si="10"/>
        <v>1233.3059000000001</v>
      </c>
      <c r="T53" s="615">
        <f>+'I - Capital RLM'!D69</f>
        <v>120.51190000000001</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120.30589999999999</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1954.0633400000002</v>
      </c>
      <c r="E78" s="117">
        <f t="shared" ref="E78:S78" si="20">+E45+E53+E76</f>
        <v>1954.0633400000002</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149</v>
      </c>
      <c r="N78" s="117">
        <f t="shared" si="20"/>
        <v>362</v>
      </c>
      <c r="O78" s="117">
        <f t="shared" si="20"/>
        <v>602</v>
      </c>
      <c r="P78" s="117">
        <f t="shared" si="20"/>
        <v>262</v>
      </c>
      <c r="Q78" s="117">
        <f t="shared" si="20"/>
        <v>251.8</v>
      </c>
      <c r="R78" s="117">
        <f>+R45+R53+R76</f>
        <v>327.55552999999998</v>
      </c>
      <c r="S78" s="117">
        <f t="shared" si="20"/>
        <v>1954.35553</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81640625" defaultRowHeight="15"/>
  <cols>
    <col min="1" max="1" width="5.08984375" customWidth="1"/>
    <col min="2" max="2" width="54" customWidth="1"/>
    <col min="3" max="5" width="21.81640625" customWidth="1"/>
    <col min="6" max="6" width="10.81640625" customWidth="1"/>
    <col min="8" max="8" width="9.81640625" customWidth="1"/>
    <col min="16" max="16" width="24.08984375" bestFit="1" customWidth="1"/>
    <col min="17" max="20" width="8.81640625" style="753"/>
    <col min="25" max="25" width="44.1796875" customWidth="1"/>
    <col min="26" max="26" width="101.5429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Oct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D12" sqref="D12"/>
    </sheetView>
  </sheetViews>
  <sheetFormatPr defaultColWidth="9.81640625" defaultRowHeight="15"/>
  <cols>
    <col min="1" max="1" width="5.81640625" customWidth="1"/>
    <col min="2" max="2" width="58.81640625" customWidth="1"/>
    <col min="3" max="6" width="14.81640625" customWidth="1"/>
    <col min="7" max="7" width="14.81640625" style="753" customWidth="1"/>
    <col min="8" max="8" width="35.81640625" style="753" bestFit="1" customWidth="1"/>
    <col min="9" max="9" width="75.81640625" customWidth="1"/>
    <col min="10" max="10" width="15.54296875" customWidth="1"/>
  </cols>
  <sheetData>
    <row r="1" spans="1:37" ht="38.25" customHeight="1">
      <c r="A1" s="1357" t="str">
        <f>Summary!A1</f>
        <v>Public Health Wales Trust</v>
      </c>
      <c r="B1" s="1641"/>
      <c r="C1" s="71"/>
      <c r="D1" s="150" t="s">
        <v>460</v>
      </c>
      <c r="E1" s="1640" t="str">
        <f>Summary!H1</f>
        <v>Oct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7</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4.0000015360419638E-5</v>
      </c>
      <c r="E11" s="1612">
        <f t="shared" ref="E11:E18" si="0">SUM(D11-C11)</f>
        <v>4.0000015360419638E-5</v>
      </c>
      <c r="F11" s="1611">
        <f>Summary!C11</f>
        <v>120</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4887+148+1490+197</f>
        <v>6722</v>
      </c>
      <c r="E12" s="1612">
        <f t="shared" si="0"/>
        <v>499</v>
      </c>
      <c r="F12" s="1611">
        <f>2851+87+869+115</f>
        <v>3922</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140.84</v>
      </c>
      <c r="E13" s="1612">
        <f>SUM(D13-C13)</f>
        <v>140.84</v>
      </c>
      <c r="F13" s="1611">
        <f>'B - Monthly Positions'!P79</f>
        <v>82.04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RLM'!C7</f>
        <v>-1954</v>
      </c>
      <c r="D20" s="1611">
        <f>-'I - Capital RLM'!H95</f>
        <v>-1953.9995199999998</v>
      </c>
      <c r="E20" s="1612">
        <f>SUM(D20-C20)</f>
        <v>4.8000000015235855E-4</v>
      </c>
      <c r="F20" s="1611">
        <f>-'I - Capital RLM'!D95</f>
        <v>-327.76188000000002</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-164</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-28575</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25118</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37</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-3584</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2824</v>
      </c>
      <c r="D29" s="1616">
        <f>SUM(D11:D27)</f>
        <v>3463.8405200000161</v>
      </c>
      <c r="E29" s="1617">
        <f>SUM(E11:E27)</f>
        <v>639.84052000001554</v>
      </c>
      <c r="F29" s="1616">
        <f>SUM(F11:F27)</f>
        <v>212.27811999999903</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-2824</v>
      </c>
      <c r="D31" s="1611">
        <f>-D29</f>
        <v>-3463.8405200000161</v>
      </c>
      <c r="E31" s="1612">
        <f>SUM(D31-C31)</f>
        <v>-639.84052000001611</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4">
        <v>21</v>
      </c>
      <c r="B33" s="1613" t="s">
        <v>747</v>
      </c>
      <c r="C33" s="1611"/>
      <c r="D33" s="1611"/>
      <c r="E33" s="1612">
        <f>SUM(D33-C33)</f>
        <v>0</v>
      </c>
      <c r="F33" s="1611">
        <f>'F - SoFP'!C18-'F - SoFP'!D18</f>
        <v>305</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6">
        <v>23</v>
      </c>
      <c r="B36" s="1605" t="s">
        <v>745</v>
      </c>
      <c r="C36" s="1603">
        <f>SUM(C31:C34)</f>
        <v>-2824</v>
      </c>
      <c r="D36" s="1603">
        <f>SUM(D31:D34)</f>
        <v>-3463.8405200000161</v>
      </c>
      <c r="E36" s="1604">
        <f>SUM(E31:E34)</f>
        <v>-639.84052000001611</v>
      </c>
      <c r="F36" s="1603">
        <f>SUM(F31:F34)</f>
        <v>305</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K6" sqref="K6"/>
    </sheetView>
  </sheetViews>
  <sheetFormatPr defaultRowHeight="15"/>
  <cols>
    <col min="1" max="1" width="1.453125" customWidth="1"/>
    <col min="2" max="2" width="48.81640625" customWidth="1"/>
    <col min="3" max="3" width="10.81640625" customWidth="1"/>
    <col min="4" max="4" width="16.81640625" customWidth="1"/>
    <col min="5" max="6" width="14.1796875" customWidth="1"/>
    <col min="7" max="7" width="20.81640625" customWidth="1"/>
    <col min="8" max="8" width="29.54296875" customWidth="1"/>
    <col min="9" max="9" width="22.81640625" customWidth="1"/>
    <col min="10" max="10" width="24.81640625" customWidth="1"/>
    <col min="11" max="11" width="72.54296875" customWidth="1"/>
    <col min="12" max="15" width="8.81640625" style="1452"/>
    <col min="16" max="16" width="50.1796875" style="1452" bestFit="1" customWidth="1"/>
    <col min="17" max="17" width="102.54296875" style="1452" customWidth="1"/>
    <col min="18" max="43" width="8.81640625" style="1452"/>
  </cols>
  <sheetData>
    <row r="1" spans="1:62" ht="15.6">
      <c r="A1" s="807"/>
      <c r="B1" s="810" t="str">
        <f>+Summary!A1</f>
        <v>Public Health Wales Trust</v>
      </c>
      <c r="C1" s="881"/>
      <c r="D1" s="882"/>
      <c r="E1" s="882"/>
      <c r="F1" s="883"/>
      <c r="G1" s="808"/>
      <c r="H1" s="814"/>
      <c r="I1" s="1145" t="s">
        <v>461</v>
      </c>
      <c r="J1" s="988" t="str">
        <f>+Summary!H1</f>
        <v>Oct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6">
      <c r="A2" s="807"/>
      <c r="B2" s="807"/>
      <c r="C2" s="884"/>
      <c r="D2" s="885"/>
      <c r="E2" s="885"/>
      <c r="F2" s="883"/>
      <c r="G2" s="808"/>
      <c r="H2" s="835" t="str">
        <f>"11 weeks before end of "&amp;J1&amp;" ="</f>
        <v>11 weeks before end of Oct 23 =</v>
      </c>
      <c r="I2" s="836">
        <f>VLOOKUP(J1,$BE$1:$BH$12,2,0)</f>
        <v>45153</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Oct 23 =</v>
      </c>
      <c r="I3" s="838">
        <f>VLOOKUP(J1,$BE$1:$BH$12,3,0)</f>
        <v>45111</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1263</v>
      </c>
      <c r="C6" s="633">
        <v>50055417</v>
      </c>
      <c r="D6" s="634">
        <v>45121</v>
      </c>
      <c r="E6" s="635">
        <v>186250</v>
      </c>
      <c r="F6" s="636">
        <v>186250</v>
      </c>
      <c r="G6" s="825" t="str">
        <f>IF(D6="","",IF(D6&gt;$I$2,"No, less than 11 weeks","Yes, valid entry for period"))</f>
        <v>Yes, valid entry for period</v>
      </c>
      <c r="H6" s="826">
        <f>IF(F6="","",IF(D6&lt;$I$3,"",F6))</f>
        <v>186250</v>
      </c>
      <c r="I6" s="826" t="str">
        <f>IF(F6="","",IF(D6&gt;=$I$3,"",F6))</f>
        <v/>
      </c>
      <c r="J6" s="827">
        <f>IF(D6="","",SUM(D6+119))</f>
        <v>45240</v>
      </c>
      <c r="K6" s="647" t="s">
        <v>1482</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c r="C7" s="633"/>
      <c r="D7" s="634"/>
      <c r="E7" s="635"/>
      <c r="F7" s="636"/>
      <c r="G7" s="825" t="str">
        <f t="shared" ref="G7:G70" si="2">IF(D7="","",IF(D7&gt;$I$2,"No, less than 11 weeks","Yes, valid entry for period"))</f>
        <v/>
      </c>
      <c r="H7" s="828" t="str">
        <f t="shared" ref="H7:H70" si="3">IF(F7="","",IF(D7&lt;$I$3,"",F7))</f>
        <v/>
      </c>
      <c r="I7" s="828" t="str">
        <f t="shared" ref="I7:I70" si="4">IF(F7="","",IF(D7&gt;=$I$3,"",F7))</f>
        <v/>
      </c>
      <c r="J7" s="829" t="str">
        <f t="shared" ref="J7:J70" si="5">IF(D7="","",SUM(D7+119))</f>
        <v/>
      </c>
      <c r="K7" s="647"/>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6" thickBot="1">
      <c r="A151" s="813"/>
      <c r="B151" s="641"/>
      <c r="C151" s="642"/>
      <c r="D151" s="643"/>
      <c r="E151" s="833">
        <f>SUM(E6:E150)</f>
        <v>186250</v>
      </c>
      <c r="F151" s="833">
        <f>SUM(F6:F150)</f>
        <v>186250</v>
      </c>
      <c r="G151" s="644"/>
      <c r="H151" s="834">
        <f>SUM(H6:H150)</f>
        <v>186250</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6" thickBot="1">
      <c r="A157" s="813"/>
      <c r="B157" s="818"/>
      <c r="C157" s="819"/>
      <c r="D157" s="820"/>
      <c r="E157" s="820"/>
      <c r="F157" s="821"/>
      <c r="G157" s="1158" t="s">
        <v>418</v>
      </c>
      <c r="H157" s="1025">
        <f>+H151-H154</f>
        <v>186250</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1640625" defaultRowHeight="15" customHeight="1"/>
  <cols>
    <col min="1" max="1" width="59.1796875" customWidth="1"/>
    <col min="2" max="2" width="41.81640625" customWidth="1"/>
    <col min="3" max="3" width="11.54296875" customWidth="1"/>
    <col min="4" max="7" width="16" customWidth="1"/>
    <col min="8" max="8" width="3.81640625" customWidth="1"/>
    <col min="9" max="9" width="15.81640625" customWidth="1"/>
    <col min="16" max="16" width="50.81640625" customWidth="1"/>
    <col min="17" max="17" width="92.453125" customWidth="1"/>
  </cols>
  <sheetData>
    <row r="1" spans="1:45" ht="24.6">
      <c r="A1" s="421" t="str">
        <f>+Summary!A1</f>
        <v>Public Health Wales Trust</v>
      </c>
      <c r="B1" s="246"/>
      <c r="C1" s="422"/>
      <c r="D1" s="423" t="str">
        <f>+Summary!G1</f>
        <v>Period :</v>
      </c>
      <c r="E1" s="423" t="str">
        <f>+Summary!H1</f>
        <v>Oct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399999999999999">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399999999999999">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1640625" defaultRowHeight="15"/>
  <cols>
    <col min="1" max="1" width="55.1796875" customWidth="1"/>
    <col min="2" max="2" width="15.08984375" customWidth="1"/>
    <col min="4" max="7" width="15.81640625" customWidth="1"/>
    <col min="8" max="8" width="2.54296875" customWidth="1"/>
    <col min="9" max="9" width="15.81640625" customWidth="1"/>
    <col min="10" max="10" width="10.81640625" bestFit="1" customWidth="1"/>
    <col min="14" max="14" width="55.1796875" customWidth="1"/>
    <col min="15" max="15" width="82.453125" customWidth="1"/>
  </cols>
  <sheetData>
    <row r="1" spans="1:59" ht="24.6">
      <c r="A1" s="421" t="str">
        <f>+Summary!A1</f>
        <v>Public Health Wales Trust</v>
      </c>
      <c r="B1" s="80"/>
      <c r="C1" s="684"/>
      <c r="D1" s="685"/>
      <c r="E1" s="685"/>
      <c r="F1" s="423" t="str">
        <f>+'N - GMS'!D1</f>
        <v>Period :</v>
      </c>
      <c r="G1" s="423" t="str">
        <f>+'N - GMS'!E1</f>
        <v>Oct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1640625" defaultRowHeight="15"/>
  <cols>
    <col min="1" max="1" width="6.81640625" style="1467" customWidth="1"/>
    <col min="2" max="2" width="68.453125" style="1467" customWidth="1"/>
    <col min="3" max="3" width="31.81640625" style="1467" bestFit="1" customWidth="1"/>
    <col min="4" max="18" width="10.81640625" style="1467" customWidth="1"/>
    <col min="19" max="19" width="8.81640625" style="1467"/>
    <col min="20" max="20" width="13.81640625" style="1467" customWidth="1"/>
    <col min="21" max="21" width="32.81640625" style="1467" bestFit="1" customWidth="1"/>
    <col min="22" max="23" width="8.81640625" style="1467"/>
    <col min="24" max="24" width="10.1796875" style="1467" customWidth="1"/>
    <col min="25" max="27" width="8.81640625" style="1467"/>
    <col min="28" max="28" width="8.81640625" style="2589"/>
    <col min="29" max="29" width="9.54296875" style="1467" customWidth="1"/>
    <col min="30" max="16384" width="8.81640625" style="1467"/>
  </cols>
  <sheetData>
    <row r="1" spans="1:32" ht="30">
      <c r="A1" s="2567" t="str">
        <f>+Summary!A1</f>
        <v>Public Health Wales Trust</v>
      </c>
      <c r="B1" s="2647"/>
      <c r="C1" s="2648"/>
      <c r="D1" s="2649"/>
      <c r="E1" s="2649"/>
      <c r="F1" s="2649"/>
      <c r="G1" s="2649"/>
      <c r="H1" s="2649"/>
      <c r="I1" s="2678" t="s">
        <v>51</v>
      </c>
      <c r="J1" s="2648" t="str">
        <f>+Summary!H1</f>
        <v>Oct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2" thickBot="1">
      <c r="A2" s="2650"/>
      <c r="B2" s="2651"/>
      <c r="C2" s="2652">
        <f>VLOOKUP(J1,X1:Y12,2,FALSE)</f>
        <v>7</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2"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6"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6"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6"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6"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95"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95"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95"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95"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95"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95" customHeight="1" thickBot="1">
      <c r="A27" s="2607"/>
      <c r="AB27" s="1467"/>
      <c r="AC27" s="2589"/>
    </row>
    <row r="28" spans="1:29" ht="16.95"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2"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95"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95"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95"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95"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95"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95"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95"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95"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95"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95"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95"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95"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6"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5"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5"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6">
      <c r="A55" s="2607"/>
      <c r="B55" s="2659" t="s">
        <v>1297</v>
      </c>
      <c r="AB55" s="1467"/>
      <c r="AC55" s="2589"/>
    </row>
    <row r="56" spans="1:29" ht="16.2" thickBot="1">
      <c r="A56" s="2607"/>
      <c r="B56" s="2659"/>
      <c r="AB56" s="1467"/>
      <c r="AC56" s="2589"/>
    </row>
    <row r="57" spans="1:29" ht="16.2"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1.8"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6" thickBot="1">
      <c r="A67" s="2607"/>
    </row>
    <row r="68" spans="1:29" ht="31.8"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6" thickBot="1">
      <c r="A76" s="2607">
        <f t="shared" si="167"/>
        <v>0</v>
      </c>
      <c r="B76" s="2682"/>
      <c r="C76" s="2709"/>
    </row>
    <row r="77" spans="1:29" ht="15.6" thickBot="1">
      <c r="A77" s="2607" t="str">
        <f>B68&amp;"_"&amp;B77</f>
        <v>Mental Health (SIF) Allocations (Confirm in below text 'Allocated' or 'Anticipated')_Total</v>
      </c>
      <c r="B77" s="2675" t="s">
        <v>78</v>
      </c>
      <c r="C77" s="1100">
        <f>SUM(C69:C76)</f>
        <v>0</v>
      </c>
      <c r="D77" s="1467" t="str">
        <f>IF(C77-E34=0,"","check")</f>
        <v/>
      </c>
    </row>
    <row r="78" spans="1:29" ht="15.6" thickBot="1">
      <c r="A78" s="2607"/>
    </row>
    <row r="79" spans="1:29" ht="16.2"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6" thickBot="1">
      <c r="A87" s="2607">
        <f t="shared" si="168"/>
        <v>0</v>
      </c>
      <c r="B87" s="2685"/>
      <c r="C87" s="2709"/>
    </row>
    <row r="88" spans="1:4" ht="15.6" thickBot="1">
      <c r="A88" s="2607" t="str">
        <f>B79&amp;"_"&amp;B88</f>
        <v>Planned Care (Confirm in below text 'Allocated' or 'Anticipated')_Total</v>
      </c>
      <c r="B88" s="2675" t="s">
        <v>78</v>
      </c>
      <c r="C88" s="1100">
        <f>SUM(C80:C87)</f>
        <v>0</v>
      </c>
      <c r="D88" s="1467" t="str">
        <f>IF(C88-E38=0,"","check")</f>
        <v/>
      </c>
    </row>
    <row r="89" spans="1:4" ht="15.6" thickBot="1">
      <c r="A89" s="2607"/>
    </row>
    <row r="90" spans="1:4" ht="16.2"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6" thickBot="1">
      <c r="A97" s="2607">
        <f t="shared" si="169"/>
        <v>0</v>
      </c>
      <c r="B97" s="2685"/>
      <c r="C97" s="2708"/>
    </row>
    <row r="98" spans="1:4" ht="15.6" thickBot="1">
      <c r="A98" s="2607" t="str">
        <f>B90&amp;"_"&amp;B98</f>
        <v>Value Based Health Care (Confirm in below text 'Allocated' or 'Anticipated')_Total</v>
      </c>
      <c r="B98" s="2675" t="s">
        <v>78</v>
      </c>
      <c r="C98" s="1100">
        <f>SUM(C91:C97)</f>
        <v>0</v>
      </c>
      <c r="D98" s="1467" t="str">
        <f>IF(C98-E42=0,"","check")</f>
        <v/>
      </c>
    </row>
    <row r="99" spans="1:4">
      <c r="A99" s="2607"/>
    </row>
    <row r="100" spans="1:4" ht="15.6" thickBot="1">
      <c r="A100" s="2607"/>
    </row>
    <row r="101" spans="1:4" ht="16.2"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6" thickBot="1">
      <c r="A108" s="2607">
        <f t="shared" si="170"/>
        <v>0</v>
      </c>
      <c r="B108" s="2685"/>
      <c r="C108" s="2708"/>
    </row>
    <row r="109" spans="1:4" ht="15.6" thickBot="1">
      <c r="A109" s="2607" t="str">
        <f>B101&amp;"_"&amp;B109</f>
        <v>Recovery (Confirm in below text 'Allocated' or 'Anticipated')_Total</v>
      </c>
      <c r="B109" s="2675" t="s">
        <v>78</v>
      </c>
      <c r="C109" s="1100">
        <f>SUM(C102:C108)</f>
        <v>0</v>
      </c>
      <c r="D109" s="1467" t="str">
        <f>IF(C109-E46=0,"","check")</f>
        <v/>
      </c>
    </row>
    <row r="110" spans="1:4">
      <c r="A110" s="2607"/>
    </row>
    <row r="111" spans="1:4" ht="15.6" thickBot="1">
      <c r="A111" s="2607"/>
    </row>
    <row r="112" spans="1:4" ht="16.2"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6" thickBot="1">
      <c r="A119" s="2607">
        <f t="shared" si="171"/>
        <v>0</v>
      </c>
      <c r="B119" s="2685"/>
      <c r="C119" s="2708"/>
    </row>
    <row r="120" spans="1:4" ht="15.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1640625" defaultRowHeight="15"/>
  <cols>
    <col min="1" max="1" width="3.1796875" style="1680" customWidth="1"/>
    <col min="2" max="2" width="99.81640625" customWidth="1"/>
    <col min="20" max="20" width="100.08984375" customWidth="1"/>
    <col min="21" max="21" width="71.1796875" customWidth="1"/>
  </cols>
  <sheetData>
    <row r="1" spans="1:37" ht="30">
      <c r="A1" s="84"/>
      <c r="B1" s="79" t="str">
        <f>Summary!A1</f>
        <v>Public Health Wales Trust</v>
      </c>
      <c r="C1" s="80"/>
      <c r="D1" s="80"/>
      <c r="E1" s="80"/>
      <c r="F1" s="80"/>
      <c r="G1" s="80"/>
      <c r="H1" s="80"/>
      <c r="I1" s="80"/>
      <c r="J1" s="80"/>
      <c r="K1" s="80"/>
      <c r="L1" s="80"/>
      <c r="M1" s="150" t="s">
        <v>51</v>
      </c>
      <c r="N1" s="954" t="str">
        <f>+Summary!H1</f>
        <v>Oct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4.6">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7</v>
      </c>
      <c r="D5" s="324">
        <f>VLOOKUP(Summary!H1,Summary!V1:W12,2,FALSE)</f>
        <v>7</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5.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6">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5.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5.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5.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1131.4166666666665</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1131.4166666666665</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6"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-1131.4166666666665</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1165.5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1165.5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-1165.5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-1165.5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2296.9166666666665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2296.9166666666665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-2296.9166666666665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-2296.9166666666665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571.89</v>
      </c>
      <c r="K212" s="1109">
        <f>'B - Monthly Positions'!L77+'B - Monthly Positions'!L82</f>
        <v>571.89</v>
      </c>
      <c r="L212" s="1109">
        <f>'B - Monthly Positions'!M77+'B - Monthly Positions'!M82</f>
        <v>571.89</v>
      </c>
      <c r="M212" s="1109">
        <f>'B - Monthly Positions'!N77+'B - Monthly Positions'!N82</f>
        <v>571.89</v>
      </c>
      <c r="N212" s="1109">
        <f>'B - Monthly Positions'!O77+'B - Monthly Positions'!O82</f>
        <v>571.58999999999992</v>
      </c>
      <c r="O212" s="1109">
        <f>SUMPRODUCT($C$6:$N$6,C212:N212)</f>
        <v>4003.8409999999994</v>
      </c>
      <c r="P212" s="1100">
        <f>SUM(C212:N212)</f>
        <v>6862.9910000000009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20889.223663333334</v>
      </c>
      <c r="K226" s="1282">
        <f>SUM('B - Monthly Positions'!L12:L16)-K227</f>
        <v>20748.598436666667</v>
      </c>
      <c r="L226" s="1282">
        <f>SUM('B - Monthly Positions'!M12:M16)-L227</f>
        <v>20485.784526666666</v>
      </c>
      <c r="M226" s="1282">
        <f>SUM('B - Monthly Positions'!N12:N16)-M227</f>
        <v>20628.388766666667</v>
      </c>
      <c r="N226" s="1282">
        <f>SUM('B - Monthly Positions'!O12:O16)-N227</f>
        <v>23783.941636666666</v>
      </c>
      <c r="O226" s="1231">
        <f t="shared" si="99"/>
        <v>136907</v>
      </c>
      <c r="P226" s="1100">
        <f t="shared" si="100"/>
        <v>243442.93702999997</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zoomScale="68" zoomScaleNormal="68" workbookViewId="0">
      <selection activeCell="B16" sqref="B16"/>
    </sheetView>
  </sheetViews>
  <sheetFormatPr defaultRowHeight="15"/>
  <cols>
    <col min="1" max="1" width="89.1796875" bestFit="1" customWidth="1"/>
    <col min="2" max="2" width="102.08984375" customWidth="1"/>
  </cols>
  <sheetData>
    <row r="1" spans="1:24" ht="21.6">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6">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2.8">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OCT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2.8">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2.8">
      <c r="A25" s="1867" t="str">
        <f>"TOTAL ERRORS FOR YOUR "&amp;B4&amp;" RETURN IS "</f>
        <v xml:space="preserve">TOTAL ERRORS FOR YOUR OCT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6">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6">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6">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6">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6">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6">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6">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6">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6">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6">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6">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6">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tabSelected="1" zoomScale="85" zoomScaleNormal="85" workbookViewId="0">
      <selection activeCell="H1" sqref="H1"/>
    </sheetView>
  </sheetViews>
  <sheetFormatPr defaultColWidth="8.81640625" defaultRowHeight="15"/>
  <cols>
    <col min="1" max="1" width="6.81640625" style="1467" customWidth="1"/>
    <col min="2" max="2" width="59.1796875" style="1467" customWidth="1"/>
    <col min="3" max="8" width="10.81640625" style="1467" customWidth="1"/>
    <col min="9" max="21" width="8.81640625" style="1467"/>
    <col min="22" max="22" width="10.1796875" style="1467" customWidth="1"/>
    <col min="23" max="25" width="8.81640625" style="1467"/>
    <col min="26" max="26" width="8.81640625" style="2589"/>
    <col min="27" max="27" width="9.54296875" style="1467" customWidth="1"/>
    <col min="28" max="16384" width="8.81640625" style="1467"/>
  </cols>
  <sheetData>
    <row r="1" spans="1:29" ht="30">
      <c r="A1" s="2567" t="s">
        <v>373</v>
      </c>
      <c r="B1" s="2568"/>
      <c r="C1" s="2569"/>
      <c r="D1" s="2570"/>
      <c r="E1" s="2570"/>
      <c r="F1" s="2570"/>
      <c r="G1" s="2571" t="s">
        <v>51</v>
      </c>
      <c r="H1" s="2572" t="s">
        <v>1217</v>
      </c>
      <c r="I1" s="2570"/>
      <c r="J1" s="2570"/>
      <c r="K1" s="2573">
        <f>VLOOKUP(Summary!$H$1,Summary!$V$1:$W$12,2,0)</f>
        <v>7</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6">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6">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1">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6">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120</v>
      </c>
      <c r="D11" s="1154">
        <f>'A - Movement'!C50</f>
        <v>4.0000015360419638E-5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6">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6">
      <c r="B199" s="2591" t="s">
        <v>52</v>
      </c>
    </row>
    <row r="200" spans="2:2" ht="15.6">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
  <cols>
    <col min="1" max="1" width="4.1796875" customWidth="1"/>
    <col min="2" max="2" width="97.54296875" customWidth="1"/>
    <col min="3" max="3" width="11.81640625" customWidth="1"/>
    <col min="4" max="4" width="10.1796875" customWidth="1"/>
    <col min="5" max="5" width="11.08984375" customWidth="1"/>
    <col min="6" max="6" width="10.81640625" customWidth="1"/>
    <col min="7" max="8" width="3.08984375" customWidth="1"/>
    <col min="9" max="9" width="3.81640625" customWidth="1"/>
    <col min="21" max="21" width="9.08984375" customWidth="1"/>
    <col min="25" max="27" width="8.81640625" customWidth="1"/>
  </cols>
  <sheetData>
    <row r="1" spans="1:66" ht="17.399999999999999">
      <c r="A1" s="127" t="str">
        <f>+Summary!A1</f>
        <v>Public Health Wales Trust</v>
      </c>
      <c r="B1" s="150"/>
      <c r="C1" s="150"/>
      <c r="D1" s="150"/>
      <c r="E1" s="150" t="s">
        <v>51</v>
      </c>
      <c r="F1" s="954" t="str">
        <f>+Summary!H1</f>
        <v>Oct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-19609.333333333332</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-8972.6912089240068</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17312.416666666672</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8972.6910189240061</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2296.9166666666665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-1.8999999474544893E-4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-4191.2905509760021</v>
      </c>
      <c r="D32" s="1130">
        <f t="shared" si="16"/>
        <v>-4191.2905509760021</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-259.74471250826878</v>
      </c>
      <c r="R32" s="1130">
        <f>'B3 - COVID-19'!K155</f>
        <v>-754.70690198581724</v>
      </c>
      <c r="S32" s="1130">
        <f>'B3 - COVID-19'!L155</f>
        <v>-185.9634203191506</v>
      </c>
      <c r="T32" s="1130">
        <f>'B3 - COVID-19'!M155</f>
        <v>-207.3341880307205</v>
      </c>
      <c r="U32" s="1130">
        <f>'B3 - COVID-19'!N155</f>
        <v>-649.62253920803914</v>
      </c>
      <c r="V32" s="1130">
        <f>SUMPRODUCT('B - Monthly Positions'!$D$7:$O$7,J32:U32)</f>
        <v>-2133.9187889240047</v>
      </c>
      <c r="W32" s="1130">
        <f t="shared" si="13"/>
        <v>-4191.2905509760021</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4191.2907809760018</v>
      </c>
      <c r="D34" s="1130">
        <f t="shared" si="16"/>
        <v>4191.2907809760018</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259.74471250826878</v>
      </c>
      <c r="R34" s="1130">
        <f>'B3 - COVID-19'!K149</f>
        <v>754.70690198581724</v>
      </c>
      <c r="S34" s="1130">
        <f>'B3 - COVID-19'!L149</f>
        <v>185.9634203191506</v>
      </c>
      <c r="T34" s="1130">
        <f>'B3 - COVID-19'!M149</f>
        <v>207.3341880307205</v>
      </c>
      <c r="U34" s="1130">
        <f>'B3 - COVID-19'!N149</f>
        <v>649.62253920803914</v>
      </c>
      <c r="V34" s="1130">
        <f>SUMPRODUCT('B - Monthly Positions'!$D$7:$O$7,J34:U34)</f>
        <v>2133.9190189240053</v>
      </c>
      <c r="W34" s="1130">
        <f t="shared" si="13"/>
        <v>4191.2907809760018</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c r="R36" s="953"/>
      <c r="S36" s="953"/>
      <c r="T36" s="953"/>
      <c r="U36" s="953">
        <v>-120</v>
      </c>
      <c r="V36" s="1130">
        <f>SUMPRODUCT('B - Monthly Positions'!$D$7:$O$7,J36:U36)</f>
        <v>120</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49">
        <f t="shared" si="26"/>
        <v>40</v>
      </c>
      <c r="B50" s="952" t="s">
        <v>33</v>
      </c>
      <c r="C50" s="950">
        <f>SUM(C24:C49)</f>
        <v>4.0000015360419638E-5</v>
      </c>
      <c r="D50" s="950">
        <f>SUM(D24:D49)</f>
        <v>4.0000015360419638E-5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5.6843418860808015E-13</v>
      </c>
      <c r="R50" s="950">
        <f t="shared" si="29"/>
        <v>1.1368683772161603E-13</v>
      </c>
      <c r="S50" s="950">
        <f t="shared" si="29"/>
        <v>-8.5265128291212022E-14</v>
      </c>
      <c r="T50" s="950">
        <f t="shared" si="29"/>
        <v>1.4210854715202004E-13</v>
      </c>
      <c r="U50" s="950">
        <f t="shared" si="29"/>
        <v>-120.00000000000034</v>
      </c>
      <c r="V50" s="950">
        <f>SUMPRODUCT('B - Monthly Positions'!$D$7:$O$7,J50:U50)</f>
        <v>120.00004000000069</v>
      </c>
      <c r="W50" s="950">
        <f>SUM(J50:U50)</f>
        <v>4.0000001092721504E-5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49">
        <f>A52+1</f>
        <v>42</v>
      </c>
      <c r="B54" s="2481" t="s">
        <v>1028</v>
      </c>
      <c r="C54" s="950">
        <f>C50-C52</f>
        <v>1.5347723092418164E-11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5.6843418860808015E-13</v>
      </c>
      <c r="R54" s="950">
        <f t="shared" si="30"/>
        <v>1.1368683772161603E-13</v>
      </c>
      <c r="S54" s="950">
        <f t="shared" si="30"/>
        <v>-8.5265128291212022E-14</v>
      </c>
      <c r="T54" s="950">
        <f t="shared" si="30"/>
        <v>1.4210854715202004E-13</v>
      </c>
      <c r="U54" s="950">
        <f t="shared" si="30"/>
        <v>-120.00000000000034</v>
      </c>
      <c r="V54" s="950">
        <f t="shared" si="30"/>
        <v>120.00000000000068</v>
      </c>
      <c r="W54" s="950">
        <f>SUM(J54:U54)</f>
        <v>1.0800249583553523E-12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1640625" defaultRowHeight="14.4"/>
  <cols>
    <col min="1" max="1" width="3.81640625" style="1417" customWidth="1"/>
    <col min="2" max="2" width="72.1796875" style="1417" customWidth="1"/>
    <col min="3" max="3" width="9.08984375" style="1417" customWidth="1"/>
    <col min="4" max="5" width="9.453125" style="1417" customWidth="1"/>
    <col min="6" max="6" width="8.81640625" style="1417"/>
    <col min="7" max="7" width="11.1796875" style="1417" customWidth="1"/>
    <col min="8" max="8" width="8.81640625" style="1417" customWidth="1"/>
    <col min="9" max="15" width="8.81640625" style="1417"/>
    <col min="16" max="16" width="93.1796875" style="1417" bestFit="1" customWidth="1"/>
    <col min="17" max="17" width="67.81640625" style="1417" customWidth="1"/>
    <col min="18" max="16384" width="8.81640625" style="1417"/>
  </cols>
  <sheetData>
    <row r="1" spans="1:18" ht="17.399999999999999">
      <c r="A1" s="127" t="str">
        <f>+Summary!A1</f>
        <v>Public Health Wales Trust</v>
      </c>
      <c r="B1" s="150"/>
      <c r="C1" s="1377"/>
      <c r="D1" s="1377"/>
      <c r="E1" s="1378"/>
      <c r="F1" s="1378"/>
      <c r="G1" s="1377" t="s">
        <v>51</v>
      </c>
      <c r="H1" s="1416" t="str">
        <f>+Summary!H1</f>
        <v>Oct 23</v>
      </c>
      <c r="P1" s="768" t="s">
        <v>557</v>
      </c>
      <c r="Q1" s="955" t="s">
        <v>205</v>
      </c>
      <c r="R1" s="71"/>
    </row>
    <row r="2" spans="1:18" ht="15.6">
      <c r="A2" s="70"/>
      <c r="B2" s="163"/>
      <c r="C2" s="1124"/>
      <c r="D2" s="1378"/>
      <c r="E2" s="1378"/>
      <c r="F2" s="1378"/>
      <c r="G2" s="1378"/>
      <c r="H2" s="1378"/>
      <c r="P2" s="71"/>
      <c r="Q2" s="71"/>
      <c r="R2" s="765"/>
    </row>
    <row r="3" spans="1:18" ht="15.6">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6">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6">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6">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2.8">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2.8">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D29" sqref="D29"/>
    </sheetView>
  </sheetViews>
  <sheetFormatPr defaultColWidth="8.81640625" defaultRowHeight="15"/>
  <cols>
    <col min="1" max="1" width="3.08984375" customWidth="1"/>
    <col min="2" max="2" width="70.08984375" customWidth="1"/>
    <col min="3" max="3" width="13.81640625" customWidth="1"/>
    <col min="4" max="4" width="10.1796875" bestFit="1" customWidth="1"/>
    <col min="5" max="6" width="8.81640625" style="759"/>
    <col min="7" max="7" width="51.453125" style="759" customWidth="1"/>
    <col min="8" max="8" width="65.81640625" style="759" bestFit="1" customWidth="1"/>
    <col min="9" max="9" width="25.81640625" customWidth="1"/>
  </cols>
  <sheetData>
    <row r="1" spans="1:26" ht="30">
      <c r="A1" s="79" t="str">
        <f>+Summary!A1</f>
        <v>Public Health Wales Trust</v>
      </c>
      <c r="B1" s="71"/>
      <c r="C1" s="70" t="s">
        <v>80</v>
      </c>
      <c r="D1" s="151" t="str">
        <f>+Summary!H1</f>
        <v>Oct 23</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4.0000015360419638E-5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4.0000015360419638E-5</v>
      </c>
      <c r="D47" s="2602"/>
      <c r="E47" s="2606"/>
      <c r="F47" s="2606"/>
      <c r="G47" s="2606"/>
    </row>
    <row r="48" spans="1:26" ht="15.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 customHeight="1" thickBot="1">
      <c r="A49" s="119">
        <f>A47+1</f>
        <v>37</v>
      </c>
      <c r="B49" s="1737" t="s">
        <v>875</v>
      </c>
      <c r="C49" s="117">
        <f>IF(C10+C34+C43&gt;0,C45,C45+C10+C34+C43)</f>
        <v>4.0000015360419638E-5</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 customHeight="1" thickBot="1">
      <c r="A51" s="119">
        <f>A49+1</f>
        <v>38</v>
      </c>
      <c r="B51" s="1737" t="s">
        <v>876</v>
      </c>
      <c r="C51" s="117">
        <f>C45+C10+C43</f>
        <v>4.0000015360419638E-5</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90" zoomScaleNormal="90" workbookViewId="0">
      <pane xSplit="3" ySplit="10" topLeftCell="H11" activePane="bottomRight" state="frozen"/>
      <selection pane="topRight" activeCell="D1" sqref="D1"/>
      <selection pane="bottomLeft" activeCell="A11" sqref="A11"/>
      <selection pane="bottomRight" activeCell="O96" sqref="K96:O96"/>
    </sheetView>
  </sheetViews>
  <sheetFormatPr defaultColWidth="8.81640625" defaultRowHeight="13.2"/>
  <cols>
    <col min="1" max="1" width="5" style="9" customWidth="1"/>
    <col min="2" max="2" width="62.453125" style="9" customWidth="1"/>
    <col min="3" max="3" width="20.81640625" style="9" customWidth="1"/>
    <col min="4" max="15" width="11.81640625" style="9" customWidth="1"/>
    <col min="16" max="16" width="8.81640625" style="9"/>
    <col min="17" max="17" width="12.1796875" style="9" customWidth="1"/>
    <col min="18" max="18" width="9.81640625" style="9" customWidth="1"/>
    <col min="19" max="22" width="8.81640625" style="9"/>
    <col min="23" max="23" width="150.08984375" style="9" customWidth="1"/>
    <col min="24" max="24" width="40.81640625" style="9" customWidth="1"/>
    <col min="25" max="25" width="8.81640625" style="750"/>
    <col min="26" max="29" width="8.81640625" style="9"/>
    <col min="30" max="30" width="9.1796875" style="9" customWidth="1"/>
    <col min="31" max="31" width="17.81640625" style="9" customWidth="1"/>
    <col min="32" max="16384" width="8.81640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Oct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Oct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Oct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Oct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Oct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7</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Oct 23</v>
      </c>
      <c r="AC5" s="1123">
        <f t="shared" si="0"/>
        <v>1</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Oct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Oct 23</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Oct 23</v>
      </c>
      <c r="AC8" s="1123">
        <f t="shared" si="0"/>
        <v>0</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Oct 23</v>
      </c>
      <c r="AC9" s="1123">
        <f t="shared" si="0"/>
        <v>0</v>
      </c>
      <c r="AD9" s="298"/>
      <c r="AE9" s="298"/>
      <c r="AF9" s="298"/>
      <c r="AG9" s="271" t="str">
        <f>Summary!V9</f>
        <v>Dec 23</v>
      </c>
      <c r="AH9" s="111">
        <f>SUM($D$37:$K$37)</f>
        <v>120.00000000000728</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Oct 23</v>
      </c>
      <c r="AC10" s="1123">
        <f>SUM(AC1:AC9)</f>
        <v>1</v>
      </c>
      <c r="AD10" s="298"/>
      <c r="AE10" s="298"/>
      <c r="AF10" s="298"/>
      <c r="AG10" s="271" t="str">
        <f>Summary!V10</f>
        <v>Jan 24</v>
      </c>
      <c r="AH10" s="111">
        <f>SUM($D$37:$L$37)</f>
        <v>120.00000000000728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120.00000000000728</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120.00000000000728</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1973+21</f>
        <v>1994</v>
      </c>
      <c r="L13" s="891">
        <f>1973+21</f>
        <v>1994</v>
      </c>
      <c r="M13" s="891">
        <f>1973+21</f>
        <v>1994</v>
      </c>
      <c r="N13" s="891">
        <f>1973+21</f>
        <v>1994</v>
      </c>
      <c r="O13" s="1065">
        <f>1974+21</f>
        <v>1995</v>
      </c>
      <c r="P13" s="74">
        <f>SUMPRODUCT($D$7:$O$7,D13:O13)</f>
        <v>14487</v>
      </c>
      <c r="Q13" s="1066">
        <f>P13+SUMPRODUCT(1-$D$7:$O$7,D13:O13)</f>
        <v>24458</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v>18</v>
      </c>
      <c r="L14" s="891">
        <v>18</v>
      </c>
      <c r="M14" s="891">
        <v>18</v>
      </c>
      <c r="N14" s="891">
        <v>18</v>
      </c>
      <c r="O14" s="891">
        <v>18</v>
      </c>
      <c r="P14" s="74">
        <f>SUMPRODUCT($D$7:$O$7,D14:O14)</f>
        <v>134</v>
      </c>
      <c r="Q14" s="1066">
        <f>P14+SUMPRODUCT(1-$D$7:$O$7,D14:O14)</f>
        <v>224</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23669+'B3 - COVID-19'!J154-6378</f>
        <v>18415.223663333334</v>
      </c>
      <c r="L15" s="891">
        <f>16563+'B3 - COVID-19'!K154+558</f>
        <v>18274.598436666667</v>
      </c>
      <c r="M15" s="891">
        <f>16552+'B3 - COVID-19'!L154+231</f>
        <v>18013.784526666666</v>
      </c>
      <c r="N15" s="891">
        <f>16548+'B3 - COVID-19'!M154+454</f>
        <v>18159.388766666667</v>
      </c>
      <c r="O15" s="1065">
        <f>15065+'B3 - COVID-19'!N154+5015</f>
        <v>21313.941636666666</v>
      </c>
      <c r="P15" s="74">
        <f>SUMPRODUCT($D$7:$O$7,D15:O15)</f>
        <v>118383</v>
      </c>
      <c r="Q15" s="1066">
        <f>P15+SUMPRODUCT(1-$D$7:$O$7,D15:O15)</f>
        <v>212559.93703000003</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v>462</v>
      </c>
      <c r="L16" s="891">
        <v>462</v>
      </c>
      <c r="M16" s="891">
        <v>460</v>
      </c>
      <c r="N16" s="891">
        <v>457</v>
      </c>
      <c r="O16" s="1065">
        <v>457</v>
      </c>
      <c r="P16" s="1072">
        <f t="shared" si="3"/>
        <v>3903</v>
      </c>
      <c r="Q16" s="1066">
        <f t="shared" si="4"/>
        <v>6201</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20889.223663333334</v>
      </c>
      <c r="L17" s="1109">
        <f t="shared" si="6"/>
        <v>20748.598436666667</v>
      </c>
      <c r="M17" s="1109">
        <f t="shared" si="6"/>
        <v>20485.784526666666</v>
      </c>
      <c r="N17" s="1109">
        <f t="shared" si="6"/>
        <v>20628.388766666667</v>
      </c>
      <c r="O17" s="1109">
        <f t="shared" si="6"/>
        <v>23783.941636666666</v>
      </c>
      <c r="P17" s="1100">
        <f t="shared" si="3"/>
        <v>136907</v>
      </c>
      <c r="Q17" s="1132">
        <f t="shared" si="4"/>
        <v>243442.93703000003</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243442.93702999997</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11446+'B3 - COVID-19'!J19+'B3 - COVID-19'!J62</f>
        <v>11578.756573333334</v>
      </c>
      <c r="L20" s="891">
        <f>11468+'B3 - COVID-19'!K19+'B3 - COVID-19'!K62</f>
        <v>11591.531116666667</v>
      </c>
      <c r="M20" s="891">
        <f>11497+'B3 - COVID-19'!L19+'B3 - COVID-19'!L62</f>
        <v>11627.363283333334</v>
      </c>
      <c r="N20" s="891">
        <f>11490+'B3 - COVID-19'!M19+'B3 - COVID-19'!M62</f>
        <v>11617.520383333334</v>
      </c>
      <c r="O20" s="891">
        <f>11824+'B3 - COVID-19'!N19+'B3 - COVID-19'!N62</f>
        <v>11948.520383333334</v>
      </c>
      <c r="P20" s="75">
        <f t="shared" si="3"/>
        <v>81221</v>
      </c>
      <c r="Q20" s="1066">
        <f t="shared" si="4"/>
        <v>139584.69174000001</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8319-SUM(K32:K35)+('B3 - COVID-19'!J33+'B3 - COVID-19'!J76+'B3 - COVID-19'!J129)</f>
        <v>8738.5770899999989</v>
      </c>
      <c r="L21" s="891">
        <f>8127-SUM(L32:L35)+('B3 - COVID-19'!K33+'B3 - COVID-19'!K76+'B3 - COVID-19'!K129)</f>
        <v>8585.1773199999989</v>
      </c>
      <c r="M21" s="891">
        <f>7758-SUM(M32:M35)+('B3 - COVID-19'!L33+'B3 - COVID-19'!L76+'B3 - COVID-19'!L129)</f>
        <v>8286.5312433333329</v>
      </c>
      <c r="N21" s="891">
        <f>7981-SUM(N32:N35)+('B3 - COVID-19'!M33+'B3 - COVID-19'!M76+'B3 - COVID-19'!M129)</f>
        <v>8438.9783833333331</v>
      </c>
      <c r="O21" s="891">
        <f>10846-SUM(O32:O35)+('B3 - COVID-19'!N33+'B3 - COVID-19'!N76+'B3 - COVID-19'!N129)</f>
        <v>11383.831253333334</v>
      </c>
      <c r="P21" s="75">
        <f t="shared" si="3"/>
        <v>51562.159</v>
      </c>
      <c r="Q21" s="1066">
        <f t="shared" si="4"/>
        <v>96995.254289999997</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139584.69174000001</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96995.254289999997</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543.77</v>
      </c>
      <c r="L32" s="891">
        <f t="shared" si="7"/>
        <v>543.77</v>
      </c>
      <c r="M32" s="891">
        <f t="shared" si="7"/>
        <v>543.77</v>
      </c>
      <c r="N32" s="891">
        <f t="shared" si="7"/>
        <v>543.77</v>
      </c>
      <c r="O32" s="891">
        <f t="shared" si="7"/>
        <v>543.16999999999996</v>
      </c>
      <c r="P32" s="75">
        <f t="shared" si="3"/>
        <v>3806.8710000000001</v>
      </c>
      <c r="Q32" s="1066">
        <f t="shared" si="4"/>
        <v>6525.1210000000001</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196.97000000000003</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20889.22366333333</v>
      </c>
      <c r="L36" s="1109">
        <f t="shared" si="9"/>
        <v>20748.598436666667</v>
      </c>
      <c r="M36" s="1109">
        <f t="shared" si="9"/>
        <v>20485.784526666666</v>
      </c>
      <c r="N36" s="1109">
        <f t="shared" si="9"/>
        <v>20628.388766666667</v>
      </c>
      <c r="O36" s="1109">
        <f t="shared" si="9"/>
        <v>23903.941636666663</v>
      </c>
      <c r="P36" s="1100">
        <f t="shared" si="3"/>
        <v>136787</v>
      </c>
      <c r="Q36" s="1132">
        <f t="shared" si="4"/>
        <v>243442.93703</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3.637978807091713E-12</v>
      </c>
      <c r="L37" s="1109">
        <f t="shared" si="10"/>
        <v>0</v>
      </c>
      <c r="M37" s="1109">
        <f t="shared" si="10"/>
        <v>0</v>
      </c>
      <c r="N37" s="1100">
        <f t="shared" si="10"/>
        <v>0</v>
      </c>
      <c r="O37" s="1109">
        <f t="shared" si="10"/>
        <v>-119.99999999999636</v>
      </c>
      <c r="P37" s="1109">
        <f t="shared" si="10"/>
        <v>120</v>
      </c>
      <c r="Q37" s="1100">
        <f t="shared" si="10"/>
        <v>2.9103830456733704E-11</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219409.94602999999</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2732</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11525+2913</f>
        <v>14438</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236579.94602999999</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20889.22366333333</v>
      </c>
      <c r="L57" s="111">
        <f t="shared" si="12"/>
        <v>20748.598436666667</v>
      </c>
      <c r="M57" s="111">
        <f t="shared" si="12"/>
        <v>20485.784526666666</v>
      </c>
      <c r="N57" s="111">
        <f t="shared" si="12"/>
        <v>20628.388766666667</v>
      </c>
      <c r="O57" s="111">
        <f t="shared" si="12"/>
        <v>23903.941636666663</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120</v>
      </c>
      <c r="F60" s="299"/>
      <c r="G60" s="300"/>
      <c r="H60" s="3199" t="str">
        <f>""&amp;(A37+6)&amp;". Extrapolated Scenario"</f>
        <v>33. Extrapolated Scenario</v>
      </c>
      <c r="I60" s="3200"/>
      <c r="J60" s="3200"/>
      <c r="K60" s="303">
        <f>SUM(E60+(E62*(12-C5)))</f>
        <v>99.99999999998181</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124.00000000000364</v>
      </c>
      <c r="F61" s="1086"/>
      <c r="G61" s="293"/>
      <c r="H61" s="3202" t="str">
        <f>""&amp;(A37+7)&amp;". Year to Date Trend Scenario"</f>
        <v>34. Year to Date Trend Scenario</v>
      </c>
      <c r="I61" s="3203"/>
      <c r="J61" s="3203"/>
      <c r="K61" s="1087">
        <f>SUM(P37/C5)*12</f>
        <v>205.71428571428572</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-4.000000000003638</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17.142857142857142</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24</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1364</v>
      </c>
      <c r="I72" s="963">
        <v>407.3</v>
      </c>
      <c r="J72" s="963">
        <v>407.3</v>
      </c>
      <c r="K72" s="963">
        <v>407.3</v>
      </c>
      <c r="L72" s="963">
        <v>407.3</v>
      </c>
      <c r="M72" s="963">
        <v>407.3</v>
      </c>
      <c r="N72" s="963">
        <v>407.3</v>
      </c>
      <c r="O72" s="963">
        <v>407</v>
      </c>
      <c r="P72" s="74">
        <f t="shared" ref="P72:P82" si="13">SUMPRODUCT($D$7:$O$7,D72:O72)</f>
        <v>2851.0910000000003</v>
      </c>
      <c r="Q72" s="937">
        <f>P72+SUMPRODUCT(1-$D$7:$O$7,D72:O72)</f>
        <v>4887.2910000000002</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89">
        <f>A72+1</f>
        <v>42</v>
      </c>
      <c r="B73" s="1097" t="s">
        <v>13</v>
      </c>
      <c r="C73" s="93" t="s">
        <v>288</v>
      </c>
      <c r="D73" s="890"/>
      <c r="E73" s="891">
        <v>452.5</v>
      </c>
      <c r="F73" s="891">
        <v>226.25</v>
      </c>
      <c r="G73" s="891">
        <v>226.25</v>
      </c>
      <c r="H73" s="891">
        <v>-843</v>
      </c>
      <c r="I73" s="891">
        <v>12.3</v>
      </c>
      <c r="J73" s="891">
        <v>12.3</v>
      </c>
      <c r="K73" s="891">
        <v>12.3</v>
      </c>
      <c r="L73" s="891">
        <v>12.3</v>
      </c>
      <c r="M73" s="891">
        <v>12.3</v>
      </c>
      <c r="N73" s="891">
        <v>12.3</v>
      </c>
      <c r="O73" s="1065">
        <v>12</v>
      </c>
      <c r="P73" s="74">
        <f t="shared" si="13"/>
        <v>86.6</v>
      </c>
      <c r="Q73" s="1066">
        <f>P73+SUMPRODUCT(1-$D$7:$O$7,D73:O73)</f>
        <v>147.80000000000001</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869.18</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543.77</v>
      </c>
      <c r="L77" s="1137">
        <f t="shared" si="15"/>
        <v>543.77</v>
      </c>
      <c r="M77" s="1137">
        <f t="shared" si="15"/>
        <v>543.77</v>
      </c>
      <c r="N77" s="1137">
        <f t="shared" si="15"/>
        <v>543.77</v>
      </c>
      <c r="O77" s="1137">
        <f t="shared" si="15"/>
        <v>543.16999999999996</v>
      </c>
      <c r="P77" s="1100">
        <f t="shared" si="13"/>
        <v>3806.8710000000001</v>
      </c>
      <c r="Q77" s="1132">
        <f t="shared" si="14"/>
        <v>6525.1210000000001</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82.04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114.93</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196.97000000000003</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64</v>
      </c>
      <c r="L96" s="2501">
        <v>65</v>
      </c>
      <c r="M96" s="2501">
        <v>68</v>
      </c>
      <c r="N96" s="2501">
        <v>61</v>
      </c>
      <c r="O96" s="2501">
        <v>63</v>
      </c>
      <c r="P96" s="1100">
        <f>SUMPRODUCT($D$7:$O$7,D96:O96)</f>
        <v>264</v>
      </c>
      <c r="Q96" s="1132">
        <f>P96+SUMPRODUCT(1-$D$7:$O$7,D96:O96)</f>
        <v>585</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110" zoomScaleNormal="110" workbookViewId="0">
      <selection activeCell="C10" sqref="C10"/>
    </sheetView>
  </sheetViews>
  <sheetFormatPr defaultColWidth="8.81640625" defaultRowHeight="14.4"/>
  <cols>
    <col min="1" max="2" width="8.81640625" style="2864"/>
    <col min="3" max="3" width="61.1796875" style="2864" bestFit="1" customWidth="1"/>
    <col min="4" max="15" width="8.1796875" style="2864" customWidth="1"/>
    <col min="16" max="17" width="8.81640625" style="2864"/>
    <col min="18" max="18" width="7.08984375" style="2864" customWidth="1"/>
    <col min="19" max="21" width="7.81640625" style="2864" customWidth="1"/>
    <col min="22" max="22" width="2.453125" style="2864" customWidth="1"/>
    <col min="23" max="25" width="7.81640625" style="2864" customWidth="1"/>
    <col min="26" max="26" width="2.453125" style="2864" customWidth="1"/>
    <col min="27" max="27" width="16.08984375" style="2864" customWidth="1"/>
    <col min="28" max="16384" width="8.81640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Oct 23</v>
      </c>
      <c r="AE1" s="1123">
        <f>IF(AC1=AD1,1,0)</f>
        <v>0</v>
      </c>
      <c r="AF1" s="80"/>
      <c r="AG1" s="80"/>
      <c r="AH1" s="80"/>
      <c r="AI1" s="271" t="str">
        <f>Summary!V1</f>
        <v>Apr 23</v>
      </c>
      <c r="AJ1" s="111">
        <v>0</v>
      </c>
      <c r="AK1" s="80"/>
      <c r="AL1" s="80"/>
    </row>
    <row r="2" spans="1:38" s="9" customFormat="1" ht="22.8">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Oct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Oct 23</v>
      </c>
      <c r="U3" s="80"/>
      <c r="V3" s="80"/>
      <c r="W3" s="1121"/>
      <c r="X3" s="80"/>
      <c r="Y3" s="80"/>
      <c r="Z3" s="80"/>
      <c r="AA3" s="80"/>
      <c r="AB3" s="111"/>
      <c r="AC3" s="1123" t="str">
        <f>+Summary!$V$5</f>
        <v>Aug 23</v>
      </c>
      <c r="AD3" s="1123" t="str">
        <f>+Summary!$H$1</f>
        <v>Oct 23</v>
      </c>
      <c r="AE3" s="1123">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Oct 23</v>
      </c>
      <c r="AE4" s="1123">
        <f t="shared" si="0"/>
        <v>0</v>
      </c>
      <c r="AF4" s="80"/>
      <c r="AG4" s="80"/>
      <c r="AH4" s="80"/>
      <c r="AI4" s="271" t="str">
        <f>Summary!V4</f>
        <v>Jul 23</v>
      </c>
      <c r="AJ4" s="111">
        <f>SUM($E$37:$G$37)</f>
        <v>0</v>
      </c>
      <c r="AK4" s="80"/>
      <c r="AL4" s="80"/>
    </row>
    <row r="5" spans="1:38" ht="15.6">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-60</v>
      </c>
      <c r="K12" s="2926">
        <f t="shared" si="2"/>
        <v>22</v>
      </c>
      <c r="L12" s="2926">
        <f t="shared" si="2"/>
        <v>22</v>
      </c>
      <c r="M12" s="2926">
        <f t="shared" si="2"/>
        <v>22</v>
      </c>
      <c r="N12" s="2926">
        <f t="shared" si="2"/>
        <v>22</v>
      </c>
      <c r="O12" s="2927">
        <f t="shared" si="2"/>
        <v>23</v>
      </c>
      <c r="P12" s="2937">
        <f t="shared" si="2"/>
        <v>51</v>
      </c>
      <c r="Q12" s="2559"/>
      <c r="R12" s="2559"/>
      <c r="S12" s="2967">
        <f t="shared" si="3"/>
        <v>-117</v>
      </c>
      <c r="T12" s="2995">
        <f>INDEX($D12:$O12,1,MATCH(LEFT($T$3,3),$D$6:$O$6,0))</f>
        <v>-60</v>
      </c>
      <c r="U12" s="2996">
        <f t="shared" si="5"/>
        <v>51</v>
      </c>
      <c r="V12" s="2887"/>
      <c r="W12" s="2984">
        <f t="shared" si="6"/>
        <v>-5.7493857493857492E-2</v>
      </c>
      <c r="X12" s="2985">
        <f t="shared" si="7"/>
        <v>-3.0333670374115267E-2</v>
      </c>
      <c r="Y12" s="2986">
        <f t="shared" ref="Y12" si="9">IF($Q43=0,0,U12/$Q43)</f>
        <v>5.1724137931034482E-3</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0</v>
      </c>
      <c r="J13" s="2926">
        <f t="shared" si="2"/>
        <v>1</v>
      </c>
      <c r="K13" s="2926">
        <f t="shared" si="2"/>
        <v>0</v>
      </c>
      <c r="L13" s="2926">
        <f t="shared" si="2"/>
        <v>0</v>
      </c>
      <c r="M13" s="2926">
        <f t="shared" si="2"/>
        <v>0</v>
      </c>
      <c r="N13" s="2926">
        <f t="shared" si="2"/>
        <v>0</v>
      </c>
      <c r="O13" s="2927">
        <f t="shared" si="2"/>
        <v>0</v>
      </c>
      <c r="P13" s="2937">
        <f t="shared" si="2"/>
        <v>1</v>
      </c>
      <c r="Q13" s="2559"/>
      <c r="R13" s="2559"/>
      <c r="S13" s="2967">
        <f t="shared" si="3"/>
        <v>0</v>
      </c>
      <c r="T13" s="2995">
        <f t="shared" si="4"/>
        <v>1</v>
      </c>
      <c r="U13" s="2996">
        <f t="shared" si="5"/>
        <v>1</v>
      </c>
      <c r="V13" s="2887"/>
      <c r="W13" s="2984">
        <f t="shared" si="6"/>
        <v>0</v>
      </c>
      <c r="X13" s="2985">
        <f t="shared" si="7"/>
        <v>5.5555555555555552E-2</v>
      </c>
      <c r="Y13" s="2986">
        <f t="shared" ref="Y13" si="10">IF($Q44=0,0,U13/$Q44)</f>
        <v>1.1111111111111112E-2</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-657.06991113333424</v>
      </c>
      <c r="K14" s="2926">
        <f t="shared" si="2"/>
        <v>386.44658766666907</v>
      </c>
      <c r="L14" s="2926">
        <f t="shared" si="2"/>
        <v>-142.5924811333316</v>
      </c>
      <c r="M14" s="2926">
        <f t="shared" si="2"/>
        <v>-165.81866446666754</v>
      </c>
      <c r="N14" s="2926">
        <f t="shared" si="2"/>
        <v>70.912373133334768</v>
      </c>
      <c r="O14" s="2927">
        <f t="shared" si="2"/>
        <v>-1291.5205277999994</v>
      </c>
      <c r="P14" s="2937">
        <f t="shared" si="2"/>
        <v>-1799.6426237333799</v>
      </c>
      <c r="Q14" s="2559"/>
      <c r="R14" s="2559"/>
      <c r="S14" s="2967">
        <f t="shared" si="3"/>
        <v>772</v>
      </c>
      <c r="T14" s="2995">
        <f t="shared" si="4"/>
        <v>-657.06991113333424</v>
      </c>
      <c r="U14" s="2996">
        <f t="shared" si="5"/>
        <v>-1799.6426237333799</v>
      </c>
      <c r="V14" s="2887"/>
      <c r="W14" s="2984">
        <f t="shared" si="6"/>
        <v>4.4541887837525961E-2</v>
      </c>
      <c r="X14" s="2985">
        <f t="shared" si="7"/>
        <v>-3.5023051150372339E-2</v>
      </c>
      <c r="Y14" s="2986">
        <f t="shared" ref="Y14" si="11">IF($Q45=0,0,U14/$Q45)</f>
        <v>-1.8880107845635378E-2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122</v>
      </c>
      <c r="K15" s="2930">
        <f t="shared" si="2"/>
        <v>1</v>
      </c>
      <c r="L15" s="2930">
        <f t="shared" si="2"/>
        <v>1</v>
      </c>
      <c r="M15" s="2930">
        <f t="shared" si="2"/>
        <v>1</v>
      </c>
      <c r="N15" s="2930">
        <f t="shared" si="2"/>
        <v>0</v>
      </c>
      <c r="O15" s="2931">
        <f t="shared" si="2"/>
        <v>0</v>
      </c>
      <c r="P15" s="2938">
        <f t="shared" si="2"/>
        <v>125</v>
      </c>
      <c r="Q15" s="2559"/>
      <c r="R15" s="2559"/>
      <c r="S15" s="2968">
        <f t="shared" si="3"/>
        <v>186</v>
      </c>
      <c r="T15" s="2997">
        <f t="shared" si="4"/>
        <v>122</v>
      </c>
      <c r="U15" s="2998">
        <f t="shared" si="5"/>
        <v>125</v>
      </c>
      <c r="V15" s="2887"/>
      <c r="W15" s="2987">
        <f t="shared" si="6"/>
        <v>0.43559718969555034</v>
      </c>
      <c r="X15" s="2988">
        <f t="shared" si="7"/>
        <v>0.2484725050916497</v>
      </c>
      <c r="Y15" s="2989">
        <f t="shared" ref="Y15" si="12">IF($Q46=0,0,U15/$Q46)</f>
        <v>5.4466230936819175E-2</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0</v>
      </c>
      <c r="J16" s="2954">
        <f t="shared" si="2"/>
        <v>-594.06991113333424</v>
      </c>
      <c r="K16" s="2954">
        <f t="shared" si="2"/>
        <v>409.44658766666907</v>
      </c>
      <c r="L16" s="2954">
        <f t="shared" si="2"/>
        <v>-119.5924811333316</v>
      </c>
      <c r="M16" s="2954">
        <f t="shared" si="2"/>
        <v>-142.81866446666754</v>
      </c>
      <c r="N16" s="2954">
        <f t="shared" si="2"/>
        <v>92.912373133334768</v>
      </c>
      <c r="O16" s="2955">
        <f t="shared" si="2"/>
        <v>-1268.5205277999994</v>
      </c>
      <c r="P16" s="2956">
        <f t="shared" si="2"/>
        <v>-1622.6426237333799</v>
      </c>
      <c r="Q16" s="2559"/>
      <c r="R16" s="2559"/>
      <c r="S16" s="2969">
        <f t="shared" si="3"/>
        <v>841</v>
      </c>
      <c r="T16" s="2972">
        <f t="shared" si="4"/>
        <v>-594.06991113333424</v>
      </c>
      <c r="U16" s="2956">
        <f t="shared" si="5"/>
        <v>-1622.6426237333799</v>
      </c>
      <c r="V16" s="2887"/>
      <c r="W16" s="2973">
        <f t="shared" si="6"/>
        <v>4.2446878312219251E-2</v>
      </c>
      <c r="X16" s="2974">
        <f t="shared" si="7"/>
        <v>-2.7958770543298143E-2</v>
      </c>
      <c r="Y16" s="2975">
        <f t="shared" ref="Y16" si="13">IF($Q47=0,0,U16/$Q47)</f>
        <v>-1.508529744258897E-2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101.96647000000121</v>
      </c>
      <c r="K19" s="2926">
        <f t="shared" si="2"/>
        <v>-14.221873333332042</v>
      </c>
      <c r="L19" s="2926">
        <f t="shared" si="2"/>
        <v>-20.146839999999429</v>
      </c>
      <c r="M19" s="2926">
        <f t="shared" si="2"/>
        <v>-6.2595899999996618</v>
      </c>
      <c r="N19" s="2926">
        <f t="shared" si="2"/>
        <v>5.7404100000003382</v>
      </c>
      <c r="O19" s="2927">
        <f t="shared" si="2"/>
        <v>-50.259589999999662</v>
      </c>
      <c r="P19" s="2937">
        <f t="shared" si="2"/>
        <v>16.818986666679848</v>
      </c>
      <c r="Q19" s="2559"/>
      <c r="R19" s="2559"/>
      <c r="S19" s="2967">
        <f t="shared" si="3"/>
        <v>382</v>
      </c>
      <c r="T19" s="2995">
        <f t="shared" si="4"/>
        <v>101.96647000000121</v>
      </c>
      <c r="U19" s="2996">
        <f t="shared" si="5"/>
        <v>16.818986666679848</v>
      </c>
      <c r="V19" s="2887"/>
      <c r="W19" s="2984">
        <f t="shared" si="6"/>
        <v>3.3922386999378384E-2</v>
      </c>
      <c r="X19" s="2985">
        <f t="shared" si="7"/>
        <v>8.835124664957214E-3</v>
      </c>
      <c r="Y19" s="2986">
        <f t="shared" ref="Y19" si="16">IF($Q50=0,0,U19/$Q50)</f>
        <v>2.8775570037266958E-4</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0</v>
      </c>
      <c r="J20" s="2926">
        <f t="shared" si="2"/>
        <v>-692.03638113333182</v>
      </c>
      <c r="K20" s="2926">
        <f t="shared" si="2"/>
        <v>423.6684609999993</v>
      </c>
      <c r="L20" s="2926">
        <f t="shared" si="2"/>
        <v>-99.445641133333993</v>
      </c>
      <c r="M20" s="2926">
        <f t="shared" si="2"/>
        <v>-136.55907446666606</v>
      </c>
      <c r="N20" s="2926">
        <f t="shared" si="2"/>
        <v>87.17196313333443</v>
      </c>
      <c r="O20" s="2927">
        <f t="shared" si="2"/>
        <v>-1222.2609377999997</v>
      </c>
      <c r="P20" s="2937">
        <f t="shared" si="2"/>
        <v>-1639.5216103999846</v>
      </c>
      <c r="Q20" s="2559"/>
      <c r="R20" s="2559"/>
      <c r="S20" s="2967">
        <f t="shared" si="3"/>
        <v>577</v>
      </c>
      <c r="T20" s="2995">
        <f t="shared" si="4"/>
        <v>-692.03638113333182</v>
      </c>
      <c r="U20" s="2996">
        <f t="shared" si="5"/>
        <v>-1639.5216103999846</v>
      </c>
      <c r="V20" s="2887"/>
      <c r="W20" s="2984">
        <f t="shared" si="6"/>
        <v>7.3352648259431913E-2</v>
      </c>
      <c r="X20" s="2985">
        <f t="shared" si="7"/>
        <v>-7.5755368579816434E-2</v>
      </c>
      <c r="Y20" s="2986">
        <f t="shared" ref="Y20" si="17">IF($Q51=0,0,U20/$Q51)</f>
        <v>-3.5349357705438435E-2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0</v>
      </c>
      <c r="M31" s="2926">
        <f t="shared" si="23"/>
        <v>0</v>
      </c>
      <c r="N31" s="2926">
        <f t="shared" si="23"/>
        <v>0</v>
      </c>
      <c r="O31" s="2927">
        <f t="shared" si="23"/>
        <v>0</v>
      </c>
      <c r="P31" s="2937">
        <f t="shared" si="23"/>
        <v>0.32999999999992724</v>
      </c>
      <c r="Q31" s="2559"/>
      <c r="R31" s="2559"/>
      <c r="S31" s="2967">
        <f t="shared" si="3"/>
        <v>0</v>
      </c>
      <c r="T31" s="2995">
        <f t="shared" si="4"/>
        <v>0</v>
      </c>
      <c r="U31" s="2996">
        <f t="shared" si="5"/>
        <v>0.32999999999992724</v>
      </c>
      <c r="V31" s="2887"/>
      <c r="W31" s="2984">
        <f t="shared" si="6"/>
        <v>0</v>
      </c>
      <c r="X31" s="2985">
        <f t="shared" si="7"/>
        <v>0</v>
      </c>
      <c r="Y31" s="2986">
        <f t="shared" ref="Y31" si="29">IF($Q62=0,0,U31/$Q62)</f>
        <v>1.214016370826551E-4</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v>
      </c>
      <c r="M32" s="2926">
        <f t="shared" si="23"/>
        <v>0</v>
      </c>
      <c r="N32" s="2926">
        <f t="shared" si="23"/>
        <v>0</v>
      </c>
      <c r="O32" s="2927">
        <f t="shared" si="23"/>
        <v>0</v>
      </c>
      <c r="P32" s="2937">
        <f t="shared" si="23"/>
        <v>0.55000000000001137</v>
      </c>
      <c r="Q32" s="2559"/>
      <c r="R32" s="2559"/>
      <c r="S32" s="2967">
        <f t="shared" si="3"/>
        <v>0</v>
      </c>
      <c r="T32" s="2995">
        <f t="shared" si="4"/>
        <v>0</v>
      </c>
      <c r="U32" s="2996">
        <f t="shared" si="5"/>
        <v>0.55000000000001137</v>
      </c>
      <c r="V32" s="2887"/>
      <c r="W32" s="2984">
        <f t="shared" si="6"/>
        <v>0</v>
      </c>
      <c r="X32" s="2985">
        <f t="shared" si="7"/>
        <v>0</v>
      </c>
      <c r="Y32" s="2986">
        <f t="shared" ref="Y32" si="30">IF($Q63=0,0,U32/$Q63)</f>
        <v>3.9034776437190302E-3</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0</v>
      </c>
      <c r="J35" s="2954">
        <f t="shared" si="23"/>
        <v>-590.06991113333061</v>
      </c>
      <c r="K35" s="2954">
        <f t="shared" si="23"/>
        <v>409.44658766666544</v>
      </c>
      <c r="L35" s="2954">
        <f t="shared" si="23"/>
        <v>-119.5924811333316</v>
      </c>
      <c r="M35" s="2954">
        <f t="shared" si="23"/>
        <v>-142.81866446666754</v>
      </c>
      <c r="N35" s="2954">
        <f t="shared" si="23"/>
        <v>92.912373133334768</v>
      </c>
      <c r="O35" s="2955">
        <f t="shared" si="23"/>
        <v>-1272.5205277999994</v>
      </c>
      <c r="P35" s="2956">
        <f t="shared" si="23"/>
        <v>-1621.8226237333729</v>
      </c>
      <c r="Q35" s="2559"/>
      <c r="R35" s="2559"/>
      <c r="S35" s="2969">
        <f t="shared" si="3"/>
        <v>959</v>
      </c>
      <c r="T35" s="2972">
        <f t="shared" si="4"/>
        <v>-590.06991113333061</v>
      </c>
      <c r="U35" s="2956">
        <f t="shared" si="5"/>
        <v>-1621.8226237333729</v>
      </c>
      <c r="V35" s="2887"/>
      <c r="W35" s="2973">
        <f t="shared" si="6"/>
        <v>4.868267424742373E-2</v>
      </c>
      <c r="X35" s="2974">
        <f t="shared" si="7"/>
        <v>-2.7770518150646344E-2</v>
      </c>
      <c r="Y35" s="2975">
        <f t="shared" ref="Y35" si="33">IF($Q66=0,0,U35/$Q66)</f>
        <v>-1.5060312633259552E-2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0</v>
      </c>
      <c r="J36" s="2960">
        <f t="shared" si="23"/>
        <v>-4</v>
      </c>
      <c r="K36" s="2960">
        <f t="shared" si="23"/>
        <v>3.637978807091713E-12</v>
      </c>
      <c r="L36" s="2960">
        <f t="shared" si="23"/>
        <v>0</v>
      </c>
      <c r="M36" s="2960">
        <f t="shared" si="23"/>
        <v>0</v>
      </c>
      <c r="N36" s="2960">
        <f t="shared" si="23"/>
        <v>0</v>
      </c>
      <c r="O36" s="2961">
        <f t="shared" si="23"/>
        <v>4</v>
      </c>
      <c r="P36" s="2962">
        <f t="shared" si="23"/>
        <v>-0.819999999992433</v>
      </c>
      <c r="Q36" s="2559"/>
      <c r="R36" s="2559"/>
      <c r="S36" s="2971">
        <f t="shared" si="3"/>
        <v>-118</v>
      </c>
      <c r="T36" s="2976">
        <f t="shared" si="4"/>
        <v>-4</v>
      </c>
      <c r="U36" s="2977">
        <f>P36</f>
        <v>-0.819999999992433</v>
      </c>
      <c r="V36" s="2887"/>
      <c r="W36" s="2978">
        <f t="shared" si="6"/>
        <v>-1.0350877192982457</v>
      </c>
      <c r="X36" s="2979">
        <f t="shared" si="7"/>
        <v>0</v>
      </c>
      <c r="Y36" s="2980">
        <f t="shared" ref="Y36" si="34">IF($Q67=0,0,U36/$Q67)</f>
        <v>6.6129032257456217E-3</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1978</v>
      </c>
      <c r="K43" s="2906">
        <v>1972</v>
      </c>
      <c r="L43" s="2906">
        <v>1972</v>
      </c>
      <c r="M43" s="2906">
        <v>1972</v>
      </c>
      <c r="N43" s="2906">
        <v>1972</v>
      </c>
      <c r="O43" s="2906">
        <v>1972</v>
      </c>
      <c r="P43" s="2937">
        <f t="shared" si="36"/>
        <v>24407</v>
      </c>
      <c r="Q43" s="2937">
        <f>IF(LEFT($T$3,3)="Mar",0,SUM(INDEX($D43:$O43,1,MATCH(LEFT($T$3,3),$D$6:$O$6,0)+1):$O43))</f>
        <v>9860</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19</v>
      </c>
      <c r="J44" s="2906">
        <v>18</v>
      </c>
      <c r="K44" s="2906">
        <v>18</v>
      </c>
      <c r="L44" s="2906">
        <v>18</v>
      </c>
      <c r="M44" s="2906">
        <v>18</v>
      </c>
      <c r="N44" s="2906">
        <v>18</v>
      </c>
      <c r="O44" s="2907">
        <v>18</v>
      </c>
      <c r="P44" s="2937">
        <f t="shared" si="36"/>
        <v>223</v>
      </c>
      <c r="Q44" s="2937">
        <f>IF(LEFT($T$3,3)="Mar",0,SUM(INDEX($D44:$O44,1,MATCH(LEFT($T$3,3),$D$6:$O$6,0)+1):$O44))</f>
        <v>90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18761.069911133334</v>
      </c>
      <c r="K45" s="2906">
        <v>18028.777075666665</v>
      </c>
      <c r="L45" s="2906">
        <v>18417.190917799999</v>
      </c>
      <c r="M45" s="2906">
        <v>18179.603191133334</v>
      </c>
      <c r="N45" s="2906">
        <v>18088.476393533332</v>
      </c>
      <c r="O45" s="2907">
        <v>22605.462164466666</v>
      </c>
      <c r="P45" s="2937">
        <f t="shared" si="36"/>
        <v>214359.57965373335</v>
      </c>
      <c r="Q45" s="2937">
        <f>IF(LEFT($T$3,3)="Mar",0,SUM(INDEX($D45:$O45,1,MATCH(LEFT($T$3,3),$D$6:$O$6,0)+1):$O45))</f>
        <v>95319.509742599985</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491</v>
      </c>
      <c r="K46" s="2910">
        <v>461</v>
      </c>
      <c r="L46" s="2910">
        <v>461</v>
      </c>
      <c r="M46" s="2910">
        <v>459</v>
      </c>
      <c r="N46" s="2910">
        <v>457</v>
      </c>
      <c r="O46" s="2911">
        <v>457</v>
      </c>
      <c r="P46" s="2938">
        <f t="shared" si="36"/>
        <v>6076</v>
      </c>
      <c r="Q46" s="2938">
        <f>IF(LEFT($T$3,3)="Mar",0,SUM(INDEX($D46:$O46,1,MATCH(LEFT($T$3,3),$D$6:$O$6,0)+1):$O46))</f>
        <v>2295</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19813</v>
      </c>
      <c r="J47" s="2876">
        <f t="shared" si="37"/>
        <v>21248.069911133334</v>
      </c>
      <c r="K47" s="2876">
        <f t="shared" si="37"/>
        <v>20479.777075666665</v>
      </c>
      <c r="L47" s="2876">
        <f t="shared" si="37"/>
        <v>20868.190917799999</v>
      </c>
      <c r="M47" s="2876">
        <f t="shared" si="37"/>
        <v>20628.603191133334</v>
      </c>
      <c r="N47" s="2876">
        <f t="shared" si="37"/>
        <v>20535.476393533332</v>
      </c>
      <c r="O47" s="2877">
        <f>SUM(O41:O46)</f>
        <v>25052.462164466666</v>
      </c>
      <c r="P47" s="2878">
        <f t="shared" si="36"/>
        <v>245065.57965373335</v>
      </c>
      <c r="Q47" s="2878">
        <f>IF(LEFT($T$3,3)="Mar",0,SUM(INDEX($D47:$O47,1,MATCH(LEFT($T$3,3),$D$6:$O$6,0)+1):$O47))</f>
        <v>107564.50974259998</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11541.033529999999</v>
      </c>
      <c r="K50" s="2906">
        <v>11592.978446666666</v>
      </c>
      <c r="L50" s="2906">
        <v>11611.677956666666</v>
      </c>
      <c r="M50" s="2906">
        <v>11633.622873333334</v>
      </c>
      <c r="N50" s="2906">
        <v>11611.779973333334</v>
      </c>
      <c r="O50" s="2907">
        <v>11998.779973333334</v>
      </c>
      <c r="P50" s="2937">
        <f t="shared" si="36"/>
        <v>139567.87275333333</v>
      </c>
      <c r="Q50" s="2937">
        <f>IF(LEFT($T$3,3)="Mar",0,SUM(INDEX($D50:$O50,1,MATCH(LEFT($T$3,3),$D$6:$O$6,0)+1):$O50))</f>
        <v>58448.839223333343</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7866.1100000000006</v>
      </c>
      <c r="J51" s="2906">
        <v>9135.1463811333324</v>
      </c>
      <c r="K51" s="2906">
        <v>8314.9086289999996</v>
      </c>
      <c r="L51" s="2906">
        <v>8684.6229611333329</v>
      </c>
      <c r="M51" s="2906">
        <v>8423.090317799999</v>
      </c>
      <c r="N51" s="2906">
        <v>8351.8064201999987</v>
      </c>
      <c r="O51" s="2907">
        <v>12606.092191133333</v>
      </c>
      <c r="P51" s="2937">
        <f t="shared" si="36"/>
        <v>98634.775900399982</v>
      </c>
      <c r="Q51" s="2937">
        <f>IF(LEFT($T$3,3)="Mar",0,SUM(INDEX($D51:$O51,1,MATCH(LEFT($T$3,3),$D$6:$O$6,0)+1):$O51))</f>
        <v>46380.520519266669</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543.77</v>
      </c>
      <c r="L62" s="2917">
        <v>543.77</v>
      </c>
      <c r="M62" s="2917">
        <v>543.77</v>
      </c>
      <c r="N62" s="2917">
        <v>543.77</v>
      </c>
      <c r="O62" s="2917">
        <v>543.16999999999996</v>
      </c>
      <c r="P62" s="2937">
        <f t="shared" si="36"/>
        <v>6524.7910000000011</v>
      </c>
      <c r="Q62" s="2937">
        <f>IF(LEFT($T$3,3)="Mar",0,SUM(INDEX($D62:$O62,1,MATCH(LEFT($T$3,3),$D$6:$O$6,0)+1):$O62))</f>
        <v>2718.25</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28.12</v>
      </c>
      <c r="M63" s="2917">
        <v>28.12</v>
      </c>
      <c r="N63" s="2917">
        <v>28.12</v>
      </c>
      <c r="O63" s="2917">
        <v>28.42</v>
      </c>
      <c r="P63" s="2937">
        <f t="shared" si="36"/>
        <v>337.32000000000005</v>
      </c>
      <c r="Q63" s="2937">
        <f>IF(LEFT($T$3,3)="Mar",0,SUM(INDEX($D63:$O63,1,MATCH(LEFT($T$3,3),$D$6:$O$6,0)+1):$O63))</f>
        <v>140.9</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19699</v>
      </c>
      <c r="J66" s="2876">
        <f t="shared" si="38"/>
        <v>21248.069911133331</v>
      </c>
      <c r="K66" s="2876">
        <f t="shared" si="38"/>
        <v>20479.777075666665</v>
      </c>
      <c r="L66" s="2876">
        <f t="shared" si="38"/>
        <v>20868.190917799999</v>
      </c>
      <c r="M66" s="2876">
        <f t="shared" si="38"/>
        <v>20628.603191133334</v>
      </c>
      <c r="N66" s="2876">
        <f t="shared" si="38"/>
        <v>20535.476393533332</v>
      </c>
      <c r="O66" s="2877">
        <f t="shared" si="38"/>
        <v>25176.462164466662</v>
      </c>
      <c r="P66" s="2878">
        <f t="shared" si="36"/>
        <v>245064.75965373334</v>
      </c>
      <c r="Q66" s="2878">
        <f>IF(LEFT($T$3,3)="Mar",0,SUM(INDEX($D66:$O66,1,MATCH(LEFT($T$3,3),$D$6:$O$6,0)+1):$O66))</f>
        <v>107688.50974259998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114</v>
      </c>
      <c r="J67" s="2884">
        <f t="shared" si="39"/>
        <v>0</v>
      </c>
      <c r="K67" s="2884">
        <f t="shared" si="39"/>
        <v>0</v>
      </c>
      <c r="L67" s="2884">
        <f t="shared" si="39"/>
        <v>0</v>
      </c>
      <c r="M67" s="2884">
        <f t="shared" si="39"/>
        <v>0</v>
      </c>
      <c r="N67" s="2884">
        <f t="shared" si="39"/>
        <v>0</v>
      </c>
      <c r="O67" s="2885">
        <f t="shared" si="39"/>
        <v>-123.99999999999636</v>
      </c>
      <c r="P67" s="2886">
        <f t="shared" si="36"/>
        <v>0.82000000000334694</v>
      </c>
      <c r="Q67" s="2886">
        <f>IF(LEFT($T$3,3)="Mar",0,SUM(INDEX($D67:$O67,1,MATCH(LEFT($T$3,3),$D$6:$O$6,0)+1):$O67))</f>
        <v>-123.99999999999636</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6">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1994</v>
      </c>
      <c r="L76" s="2926">
        <f>'B - Monthly Positions'!L13</f>
        <v>1994</v>
      </c>
      <c r="M76" s="2926">
        <f>'B - Monthly Positions'!M13</f>
        <v>1994</v>
      </c>
      <c r="N76" s="2926">
        <f>'B - Monthly Positions'!N13</f>
        <v>1994</v>
      </c>
      <c r="O76" s="2927">
        <f>'B - Monthly Positions'!O13</f>
        <v>1995</v>
      </c>
      <c r="P76" s="2937">
        <f t="shared" si="41"/>
        <v>24458</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18</v>
      </c>
      <c r="L77" s="2926">
        <f>'B - Monthly Positions'!L14</f>
        <v>18</v>
      </c>
      <c r="M77" s="2926">
        <f>'B - Monthly Positions'!M14</f>
        <v>18</v>
      </c>
      <c r="N77" s="2926">
        <f>'B - Monthly Positions'!N14</f>
        <v>18</v>
      </c>
      <c r="O77" s="2927">
        <f>'B - Monthly Positions'!O14</f>
        <v>18</v>
      </c>
      <c r="P77" s="2937">
        <f t="shared" si="41"/>
        <v>224</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18415.223663333334</v>
      </c>
      <c r="L78" s="2926">
        <f>'B - Monthly Positions'!L15</f>
        <v>18274.598436666667</v>
      </c>
      <c r="M78" s="2926">
        <f>'B - Monthly Positions'!M15</f>
        <v>18013.784526666666</v>
      </c>
      <c r="N78" s="2926">
        <f>'B - Monthly Positions'!N15</f>
        <v>18159.388766666667</v>
      </c>
      <c r="O78" s="2927">
        <f>'B - Monthly Positions'!O15</f>
        <v>21313.941636666666</v>
      </c>
      <c r="P78" s="2937">
        <f t="shared" si="41"/>
        <v>212559.93702999997</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462</v>
      </c>
      <c r="L79" s="2930">
        <f>'B - Monthly Positions'!L16</f>
        <v>462</v>
      </c>
      <c r="M79" s="2930">
        <f>'B - Monthly Positions'!M16</f>
        <v>460</v>
      </c>
      <c r="N79" s="2930">
        <f>'B - Monthly Positions'!N16</f>
        <v>457</v>
      </c>
      <c r="O79" s="2931">
        <f>'B - Monthly Positions'!O16</f>
        <v>457</v>
      </c>
      <c r="P79" s="2938">
        <f t="shared" si="41"/>
        <v>6201</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20889.223663333334</v>
      </c>
      <c r="L80" s="2954">
        <f>'B - Monthly Positions'!L17</f>
        <v>20748.598436666667</v>
      </c>
      <c r="M80" s="2954">
        <f>'B - Monthly Positions'!M17</f>
        <v>20485.784526666666</v>
      </c>
      <c r="N80" s="2954">
        <f>'B - Monthly Positions'!N17</f>
        <v>20628.388766666667</v>
      </c>
      <c r="O80" s="2955">
        <f>'B - Monthly Positions'!O17</f>
        <v>23783.941636666666</v>
      </c>
      <c r="P80" s="2956">
        <f t="shared" si="41"/>
        <v>243442.93702999997</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11578.756573333334</v>
      </c>
      <c r="L83" s="2926">
        <f>'B - Monthly Positions'!L20</f>
        <v>11591.531116666667</v>
      </c>
      <c r="M83" s="2926">
        <f>'B - Monthly Positions'!M20</f>
        <v>11627.363283333334</v>
      </c>
      <c r="N83" s="2926">
        <f>'B - Monthly Positions'!N20</f>
        <v>11617.520383333334</v>
      </c>
      <c r="O83" s="2927">
        <f>'B - Monthly Positions'!O20</f>
        <v>11948.520383333334</v>
      </c>
      <c r="P83" s="2937">
        <f t="shared" si="41"/>
        <v>139584.69174000001</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8738.5770899999989</v>
      </c>
      <c r="L84" s="2926">
        <f>'B - Monthly Positions'!L21</f>
        <v>8585.1773199999989</v>
      </c>
      <c r="M84" s="2926">
        <f>'B - Monthly Positions'!M21</f>
        <v>8286.5312433333329</v>
      </c>
      <c r="N84" s="2926">
        <f>'B - Monthly Positions'!N21</f>
        <v>8438.9783833333331</v>
      </c>
      <c r="O84" s="2927">
        <f>'B - Monthly Positions'!O21</f>
        <v>11383.831253333334</v>
      </c>
      <c r="P84" s="2937">
        <f t="shared" si="41"/>
        <v>96995.254289999997</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543.77</v>
      </c>
      <c r="L95" s="2926">
        <f>'B - Monthly Positions'!L32</f>
        <v>543.77</v>
      </c>
      <c r="M95" s="2926">
        <f>'B - Monthly Positions'!M32</f>
        <v>543.77</v>
      </c>
      <c r="N95" s="2926">
        <f>'B - Monthly Positions'!N32</f>
        <v>543.77</v>
      </c>
      <c r="O95" s="2927">
        <f>'B - Monthly Positions'!O32</f>
        <v>543.16999999999996</v>
      </c>
      <c r="P95" s="2937">
        <f t="shared" si="41"/>
        <v>6525.121000000001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20889.22366333333</v>
      </c>
      <c r="L99" s="2954">
        <f>'B - Monthly Positions'!L36</f>
        <v>20748.598436666667</v>
      </c>
      <c r="M99" s="2954">
        <f>'B - Monthly Positions'!M36</f>
        <v>20485.784526666666</v>
      </c>
      <c r="N99" s="2954">
        <f>'B - Monthly Positions'!N36</f>
        <v>20628.388766666667</v>
      </c>
      <c r="O99" s="2955">
        <f>'B - Monthly Positions'!O36</f>
        <v>23903.941636666663</v>
      </c>
      <c r="P99" s="2956">
        <f t="shared" si="41"/>
        <v>243442.93702999997</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3.637978807091713E-12</v>
      </c>
      <c r="L100" s="2960">
        <f>'B - Monthly Positions'!L37</f>
        <v>0</v>
      </c>
      <c r="M100" s="2960">
        <f>'B - Monthly Positions'!M37</f>
        <v>0</v>
      </c>
      <c r="N100" s="2960">
        <f>'B - Monthly Positions'!N37</f>
        <v>0</v>
      </c>
      <c r="O100" s="2961">
        <f>'B - Monthly Positions'!O37</f>
        <v>-119.99999999999636</v>
      </c>
      <c r="P100" s="2962">
        <f t="shared" si="41"/>
        <v>1.0913936421275139E-11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1" ma:contentTypeDescription="Create a new document." ma:contentTypeScope="" ma:versionID="f2cb1175636f234ac26ee35174f065b4">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a719f7703b35e08e0b10400cbcec51b1"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enumeration value="Chair's Brief"/>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2/2023"/>
          <xsd:enumeration value="2023/2024"/>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3.xml><?xml version="1.0" encoding="utf-8"?>
<p:properties xmlns:p="http://schemas.microsoft.com/office/2006/metadata/properties" xmlns:xsi="http://www.w3.org/2001/XMLSchema-instance" xmlns:pc="http://schemas.microsoft.com/office/infopath/2007/PartnerControls">
  <documentManagement>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 xsi:nil="true"/>
    <MeetingDate xmlns="74117dde-b119-4746-8562-4584e64c254c">2023-11-30T00:00:00+00:00</MeetingDate>
    <EinancialYear xmlns="74117dde-b119-4746-8562-4584e64c254c">2023/2024</EinancialYear>
    <Reason xmlns="74117dde-b119-4746-8562-4584e64c254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DC8F57-F5FC-43E9-A0A7-BC1E92364E83}"/>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Angela Williams (Public Health Wales - No. 2 Capital Q</cp:lastModifiedBy>
  <cp:lastPrinted>2023-04-25T11:34:50Z</cp:lastPrinted>
  <dcterms:created xsi:type="dcterms:W3CDTF">2009-08-27T15:29:26Z</dcterms:created>
  <dcterms:modified xsi:type="dcterms:W3CDTF">2023-11-17T14:47:49Z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